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RESIDUOS\Caracterizaciones\2023\Ficha medio ambiente\"/>
    </mc:Choice>
  </mc:AlternateContent>
  <bookViews>
    <workbookView xWindow="0" yWindow="0" windowWidth="23040" windowHeight="9216" tabRatio="815"/>
  </bookViews>
  <sheets>
    <sheet name="Notas Aclaratorias" sheetId="7" r:id="rId1"/>
    <sheet name="FICHA DE CARACTERIZACION A 3.1" sheetId="2" r:id="rId2"/>
    <sheet name="FICHA GN A3.2" sheetId="1" r:id="rId3"/>
    <sheet name="TABLA RECOPILATORIA A3.3" sheetId="5" r:id="rId4"/>
    <sheet name="LISTA DE RESIDUOS" sheetId="6" r:id="rId5"/>
    <sheet name="SOLICITADOS_FRACCION" sheetId="4" r:id="rId6"/>
  </sheets>
  <definedNames>
    <definedName name="_xlnm._FilterDatabase" localSheetId="1" hidden="1">'FICHA DE CARACTERIZACION A 3.1'!$A$15:$N$177</definedName>
    <definedName name="_xlnm._FilterDatabase" localSheetId="5" hidden="1">SOLICITADOS_FRACCION!$A$1:$H$55</definedName>
  </definedNames>
  <calcPr calcId="162913"/>
  <pivotCaches>
    <pivotCache cacheId="0" r:id="rId7"/>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U2" i="5" l="1"/>
  <c r="BT2" i="5"/>
  <c r="BS2" i="5"/>
  <c r="BR2" i="5"/>
  <c r="BQ2" i="5"/>
  <c r="BP2" i="5"/>
  <c r="BO2" i="5"/>
  <c r="BN2" i="5"/>
  <c r="BM2" i="5"/>
  <c r="BL2" i="5"/>
  <c r="BK2" i="5"/>
  <c r="BJ2" i="5"/>
  <c r="BI2" i="5"/>
  <c r="BH2" i="5"/>
  <c r="BG2" i="5"/>
  <c r="BF2" i="5"/>
  <c r="BE2" i="5"/>
  <c r="BD2" i="5"/>
  <c r="N2" i="5" l="1"/>
  <c r="M2" i="5"/>
  <c r="L2" i="5"/>
  <c r="K2" i="5"/>
  <c r="J2" i="5"/>
  <c r="I2" i="5"/>
  <c r="H2" i="5"/>
  <c r="G2" i="5"/>
  <c r="F2" i="5"/>
  <c r="E2" i="5"/>
  <c r="D2" i="5"/>
  <c r="C2" i="5"/>
  <c r="AY2" i="5"/>
  <c r="AS2" i="5"/>
  <c r="AK2" i="5"/>
  <c r="AU2" i="5"/>
  <c r="AI2" i="5"/>
  <c r="BB2" i="5"/>
  <c r="AV2" i="5"/>
  <c r="AM2" i="5"/>
  <c r="AT2" i="5"/>
  <c r="AX2" i="5"/>
  <c r="AR2" i="5"/>
  <c r="AJ2" i="5"/>
  <c r="AQ2" i="5"/>
  <c r="AG2" i="5"/>
  <c r="AN2" i="5"/>
  <c r="AF2" i="5"/>
  <c r="AC2" i="5"/>
  <c r="AL2" i="5"/>
  <c r="AE2" i="5"/>
  <c r="AP2" i="5"/>
  <c r="AH2" i="5"/>
  <c r="BC2" i="5"/>
  <c r="AD2" i="5"/>
  <c r="AO2" i="5"/>
  <c r="AW2" i="5"/>
  <c r="BA2" i="5"/>
  <c r="AZ2" i="5"/>
  <c r="AB2" i="5"/>
  <c r="W2" i="5"/>
  <c r="V2" i="5"/>
  <c r="U2" i="5"/>
  <c r="T2" i="5"/>
  <c r="AA2" i="5"/>
  <c r="Z2" i="5"/>
  <c r="R2" i="5"/>
  <c r="P2" i="5"/>
  <c r="S2" i="5"/>
  <c r="Y2" i="5"/>
  <c r="Q2" i="5"/>
  <c r="X2" i="5"/>
  <c r="E21" i="6" l="1"/>
  <c r="E22" i="6"/>
  <c r="E23" i="6"/>
  <c r="E24" i="6"/>
  <c r="E25" i="6"/>
  <c r="E26" i="6"/>
  <c r="E27" i="6"/>
  <c r="E28" i="6"/>
  <c r="E29" i="6"/>
  <c r="E30" i="6"/>
  <c r="E31" i="6"/>
  <c r="E32" i="6"/>
  <c r="E33" i="6"/>
  <c r="E34" i="6"/>
  <c r="E35" i="6"/>
  <c r="E36" i="6"/>
  <c r="E20" i="6"/>
  <c r="D21" i="6"/>
  <c r="D22" i="6"/>
  <c r="D23" i="6"/>
  <c r="D24" i="6"/>
  <c r="D25" i="6"/>
  <c r="D26" i="6"/>
  <c r="D27" i="6"/>
  <c r="D28" i="6"/>
  <c r="D29" i="6"/>
  <c r="D30" i="6"/>
  <c r="D31" i="6"/>
  <c r="D32" i="6"/>
  <c r="D33" i="6"/>
  <c r="D34" i="6"/>
  <c r="D35" i="6"/>
  <c r="D36" i="6"/>
  <c r="D20" i="6"/>
  <c r="E17" i="2" l="1"/>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04" i="2"/>
  <c r="E105" i="2"/>
  <c r="E106" i="2"/>
  <c r="E107" i="2"/>
  <c r="E108" i="2"/>
  <c r="E109" i="2"/>
  <c r="E110" i="2"/>
  <c r="E111" i="2"/>
  <c r="E112" i="2"/>
  <c r="E113" i="2"/>
  <c r="E114" i="2"/>
  <c r="E115" i="2"/>
  <c r="E116" i="2"/>
  <c r="E117" i="2"/>
  <c r="E118" i="2"/>
  <c r="E119" i="2"/>
  <c r="E120" i="2"/>
  <c r="E121" i="2"/>
  <c r="E122" i="2"/>
  <c r="E123" i="2"/>
  <c r="E124" i="2"/>
  <c r="E125" i="2"/>
  <c r="E126" i="2"/>
  <c r="E127" i="2"/>
  <c r="E128" i="2"/>
  <c r="E129" i="2"/>
  <c r="E130" i="2"/>
  <c r="E131" i="2"/>
  <c r="E132" i="2"/>
  <c r="E133" i="2"/>
  <c r="E134" i="2"/>
  <c r="E135" i="2"/>
  <c r="E136" i="2"/>
  <c r="E137" i="2"/>
  <c r="E138" i="2"/>
  <c r="E139" i="2"/>
  <c r="E140" i="2"/>
  <c r="E141" i="2"/>
  <c r="E142" i="2"/>
  <c r="E143" i="2"/>
  <c r="E144" i="2"/>
  <c r="E145" i="2"/>
  <c r="E146" i="2"/>
  <c r="E147" i="2"/>
  <c r="E148" i="2"/>
  <c r="E149" i="2"/>
  <c r="E150" i="2"/>
  <c r="E151" i="2"/>
  <c r="E152" i="2"/>
  <c r="E153" i="2"/>
  <c r="E154" i="2"/>
  <c r="E155" i="2"/>
  <c r="E156" i="2"/>
  <c r="E157" i="2"/>
  <c r="E158" i="2"/>
  <c r="E159" i="2"/>
  <c r="E160" i="2"/>
  <c r="E161" i="2"/>
  <c r="E162" i="2"/>
  <c r="E163" i="2"/>
  <c r="E164" i="2"/>
  <c r="E165" i="2"/>
  <c r="E166" i="2"/>
  <c r="E167" i="2"/>
  <c r="E168" i="2"/>
  <c r="E169" i="2"/>
  <c r="E170" i="2"/>
  <c r="E171" i="2"/>
  <c r="E172" i="2"/>
  <c r="E173" i="2"/>
  <c r="E174" i="2"/>
  <c r="E175" i="2"/>
  <c r="E176" i="2"/>
  <c r="E177" i="2"/>
  <c r="E16" i="2"/>
  <c r="B2" i="5" l="1"/>
  <c r="H17" i="2"/>
  <c r="H18" i="2" s="1"/>
  <c r="H19" i="2" s="1"/>
  <c r="H20" i="2" s="1"/>
  <c r="H21" i="2" s="1"/>
  <c r="H22" i="2" s="1"/>
  <c r="H23" i="2" s="1"/>
  <c r="H24" i="2" s="1"/>
  <c r="H25" i="2" s="1"/>
  <c r="H26" i="2" s="1"/>
  <c r="H27" i="2" s="1"/>
  <c r="H28" i="2" s="1"/>
  <c r="H29" i="2" s="1"/>
  <c r="H30" i="2" s="1"/>
  <c r="H31" i="2" s="1"/>
  <c r="H32" i="2" s="1"/>
  <c r="H33" i="2" s="1"/>
  <c r="H34" i="2" s="1"/>
  <c r="H35" i="2" s="1"/>
  <c r="H36" i="2" s="1"/>
  <c r="H37" i="2" s="1"/>
  <c r="H38" i="2" s="1"/>
  <c r="H39" i="2" s="1"/>
  <c r="H40" i="2" s="1"/>
  <c r="H41" i="2" s="1"/>
  <c r="H42" i="2" s="1"/>
  <c r="H43" i="2" s="1"/>
  <c r="H44" i="2" s="1"/>
  <c r="H45" i="2" s="1"/>
  <c r="H46" i="2" s="1"/>
  <c r="H47" i="2" s="1"/>
  <c r="H48" i="2" s="1"/>
  <c r="H49" i="2" s="1"/>
  <c r="H50" i="2" s="1"/>
  <c r="H51" i="2" s="1"/>
  <c r="H52" i="2" s="1"/>
  <c r="H53" i="2" s="1"/>
  <c r="H54" i="2" s="1"/>
  <c r="H55" i="2" s="1"/>
  <c r="H56" i="2" s="1"/>
  <c r="H57" i="2" s="1"/>
  <c r="H58" i="2" s="1"/>
  <c r="H59" i="2" s="1"/>
  <c r="H60" i="2" s="1"/>
  <c r="H61" i="2" s="1"/>
  <c r="H62" i="2" s="1"/>
  <c r="H63" i="2" s="1"/>
  <c r="H64" i="2" s="1"/>
  <c r="H65" i="2" s="1"/>
  <c r="H66" i="2" s="1"/>
  <c r="H67" i="2" s="1"/>
  <c r="H68" i="2" s="1"/>
  <c r="H69" i="2" s="1"/>
  <c r="H70" i="2" s="1"/>
  <c r="H71" i="2" s="1"/>
  <c r="H72" i="2" s="1"/>
  <c r="H73" i="2" s="1"/>
  <c r="H74" i="2" s="1"/>
  <c r="H75" i="2" s="1"/>
  <c r="H76" i="2" s="1"/>
  <c r="H77" i="2" s="1"/>
  <c r="H78" i="2" s="1"/>
  <c r="H79" i="2" s="1"/>
  <c r="H80" i="2" s="1"/>
  <c r="H81" i="2" s="1"/>
  <c r="H82" i="2" s="1"/>
  <c r="H83" i="2" s="1"/>
  <c r="H84" i="2" s="1"/>
  <c r="H85" i="2" s="1"/>
  <c r="H86" i="2" s="1"/>
  <c r="H87" i="2" s="1"/>
  <c r="H88" i="2" s="1"/>
  <c r="H89" i="2" s="1"/>
  <c r="H90" i="2" s="1"/>
  <c r="H91" i="2" s="1"/>
  <c r="H92" i="2" s="1"/>
  <c r="H93" i="2" s="1"/>
  <c r="H94" i="2" s="1"/>
  <c r="H95" i="2" s="1"/>
  <c r="H96" i="2" s="1"/>
  <c r="H97" i="2" s="1"/>
  <c r="H98" i="2" s="1"/>
  <c r="H99" i="2" s="1"/>
  <c r="H100" i="2" s="1"/>
  <c r="H101" i="2" s="1"/>
  <c r="H102" i="2" s="1"/>
  <c r="H103" i="2" s="1"/>
  <c r="H104" i="2" s="1"/>
  <c r="H105" i="2" s="1"/>
  <c r="H106" i="2" s="1"/>
  <c r="H107" i="2" s="1"/>
  <c r="H108" i="2" s="1"/>
  <c r="H109" i="2" s="1"/>
  <c r="H110" i="2" s="1"/>
  <c r="H111" i="2" s="1"/>
  <c r="H112" i="2" s="1"/>
  <c r="H113" i="2" s="1"/>
  <c r="H114" i="2" s="1"/>
  <c r="H115" i="2" s="1"/>
  <c r="H116" i="2" s="1"/>
  <c r="H117" i="2" s="1"/>
  <c r="H118" i="2" s="1"/>
  <c r="H119" i="2" s="1"/>
  <c r="H120" i="2" s="1"/>
  <c r="H121" i="2" s="1"/>
  <c r="H122" i="2" s="1"/>
  <c r="H123" i="2" s="1"/>
  <c r="H124" i="2" s="1"/>
  <c r="H125" i="2" s="1"/>
  <c r="H126" i="2" s="1"/>
  <c r="H127" i="2" s="1"/>
  <c r="H128" i="2" s="1"/>
  <c r="H129" i="2" s="1"/>
  <c r="H130" i="2" s="1"/>
  <c r="H131" i="2" s="1"/>
  <c r="H132" i="2" s="1"/>
  <c r="H133" i="2" s="1"/>
  <c r="H134" i="2" s="1"/>
  <c r="H135" i="2" s="1"/>
  <c r="H136" i="2" s="1"/>
  <c r="H137" i="2" s="1"/>
  <c r="H138" i="2" s="1"/>
  <c r="H139" i="2" s="1"/>
  <c r="H140" i="2" s="1"/>
  <c r="H141" i="2" s="1"/>
  <c r="H142" i="2" s="1"/>
  <c r="H143" i="2" s="1"/>
  <c r="H144" i="2" s="1"/>
  <c r="H145" i="2" s="1"/>
  <c r="H146" i="2" s="1"/>
  <c r="H147" i="2" s="1"/>
  <c r="H148" i="2" s="1"/>
  <c r="H149" i="2" s="1"/>
  <c r="H150" i="2" s="1"/>
  <c r="H151" i="2" s="1"/>
  <c r="H152" i="2" s="1"/>
  <c r="H153" i="2" s="1"/>
  <c r="H154" i="2" s="1"/>
  <c r="H155" i="2" s="1"/>
  <c r="H156" i="2" s="1"/>
  <c r="H157" i="2" s="1"/>
  <c r="H158" i="2" s="1"/>
  <c r="H159" i="2" s="1"/>
  <c r="H160" i="2" s="1"/>
  <c r="H161" i="2" s="1"/>
  <c r="H162" i="2" s="1"/>
  <c r="H163" i="2" s="1"/>
  <c r="H164" i="2" s="1"/>
  <c r="H165" i="2" s="1"/>
  <c r="H166" i="2" s="1"/>
  <c r="H167" i="2" s="1"/>
  <c r="H168" i="2" s="1"/>
  <c r="H169" i="2" s="1"/>
  <c r="H170" i="2" s="1"/>
  <c r="H171" i="2" s="1"/>
  <c r="H172" i="2" s="1"/>
  <c r="H173" i="2" s="1"/>
  <c r="H174" i="2" s="1"/>
  <c r="H175" i="2" s="1"/>
  <c r="H176" i="2" s="1"/>
  <c r="H177" i="2" s="1"/>
  <c r="O177" i="2" l="1"/>
  <c r="M177" i="2" s="1"/>
  <c r="H66" i="1" s="1"/>
  <c r="O176" i="2"/>
  <c r="M176" i="2" s="1"/>
  <c r="H65" i="1" s="1"/>
  <c r="O175" i="2"/>
  <c r="M175" i="2" s="1"/>
  <c r="H64" i="1" s="1"/>
  <c r="O174" i="2"/>
  <c r="M174" i="2" s="1"/>
  <c r="H63" i="1" s="1"/>
  <c r="O173" i="2"/>
  <c r="M173" i="2" s="1"/>
  <c r="H62" i="1" s="1"/>
  <c r="O172" i="2"/>
  <c r="M172" i="2" s="1"/>
  <c r="H61" i="1" s="1"/>
  <c r="O171" i="2"/>
  <c r="M171" i="2" s="1"/>
  <c r="H60" i="1" s="1"/>
  <c r="O170" i="2"/>
  <c r="M170" i="2" s="1"/>
  <c r="H59" i="1" s="1"/>
  <c r="O169" i="2"/>
  <c r="M169" i="2" s="1"/>
  <c r="H58" i="1" s="1"/>
  <c r="O168" i="2"/>
  <c r="M168" i="2" s="1"/>
  <c r="H57" i="1" s="1"/>
  <c r="O167" i="2"/>
  <c r="M167" i="2" s="1"/>
  <c r="H56" i="1" s="1"/>
  <c r="O166" i="2"/>
  <c r="M166" i="2" s="1"/>
  <c r="H55" i="1" s="1"/>
  <c r="O165" i="2"/>
  <c r="M165" i="2" s="1"/>
  <c r="H54" i="1" s="1"/>
  <c r="O164" i="2"/>
  <c r="M164" i="2" s="1"/>
  <c r="H53" i="1" s="1"/>
  <c r="O163" i="2"/>
  <c r="M163" i="2" s="1"/>
  <c r="H52" i="1" s="1"/>
  <c r="O162" i="2"/>
  <c r="M162" i="2" s="1"/>
  <c r="H51" i="1" s="1"/>
  <c r="O161" i="2"/>
  <c r="M161" i="2" s="1"/>
  <c r="H50" i="1" s="1"/>
  <c r="O160" i="2"/>
  <c r="M160" i="2" s="1"/>
  <c r="H49" i="1" s="1"/>
  <c r="O159" i="2"/>
  <c r="M159" i="2" s="1"/>
  <c r="H48" i="1" s="1"/>
  <c r="O158" i="2"/>
  <c r="M158" i="2" s="1"/>
  <c r="H47" i="1" s="1"/>
  <c r="O157" i="2"/>
  <c r="M157" i="2" s="1"/>
  <c r="H46" i="1" s="1"/>
  <c r="O156" i="2"/>
  <c r="M156" i="2" s="1"/>
  <c r="H45" i="1" s="1"/>
  <c r="O155" i="2"/>
  <c r="M155" i="2" s="1"/>
  <c r="H44" i="1" s="1"/>
  <c r="O154" i="2"/>
  <c r="M154" i="2" s="1"/>
  <c r="H43" i="1" s="1"/>
  <c r="O153" i="2"/>
  <c r="M153" i="2" s="1"/>
  <c r="H42" i="1" s="1"/>
  <c r="O152" i="2"/>
  <c r="M152" i="2" s="1"/>
  <c r="H41" i="1" s="1"/>
  <c r="O151" i="2"/>
  <c r="M151" i="2" s="1"/>
  <c r="H40" i="1" s="1"/>
  <c r="O150" i="2"/>
  <c r="M150" i="2" s="1"/>
  <c r="H39" i="1" s="1"/>
  <c r="O149" i="2"/>
  <c r="M149" i="2" s="1"/>
  <c r="H38" i="1" s="1"/>
  <c r="O148" i="2"/>
  <c r="M148" i="2" s="1"/>
  <c r="H37" i="1" s="1"/>
  <c r="O147" i="2"/>
  <c r="M147" i="2" s="1"/>
  <c r="H36" i="1" s="1"/>
  <c r="O146" i="2"/>
  <c r="M146" i="2" s="1"/>
  <c r="H35" i="1" s="1"/>
  <c r="O145" i="2"/>
  <c r="M145" i="2" s="1"/>
  <c r="H34" i="1" s="1"/>
  <c r="O144" i="2"/>
  <c r="M144" i="2" s="1"/>
  <c r="H33" i="1" s="1"/>
  <c r="O143" i="2"/>
  <c r="M143" i="2" s="1"/>
  <c r="H32" i="1" s="1"/>
  <c r="O142" i="2"/>
  <c r="M142" i="2" s="1"/>
  <c r="H31" i="1" s="1"/>
  <c r="O141" i="2"/>
  <c r="M141" i="2" s="1"/>
  <c r="H30" i="1" s="1"/>
  <c r="O140" i="2"/>
  <c r="M140" i="2" s="1"/>
  <c r="H29" i="1" s="1"/>
  <c r="O139" i="2"/>
  <c r="M139" i="2" s="1"/>
  <c r="H28" i="1" s="1"/>
  <c r="O138" i="2"/>
  <c r="M138" i="2" s="1"/>
  <c r="H27" i="1" s="1"/>
  <c r="O137" i="2"/>
  <c r="M137" i="2" s="1"/>
  <c r="H26" i="1" s="1"/>
  <c r="O136" i="2"/>
  <c r="M136" i="2" s="1"/>
  <c r="H25" i="1" s="1"/>
  <c r="O135" i="2"/>
  <c r="M135" i="2" s="1"/>
  <c r="H24" i="1" s="1"/>
  <c r="O134" i="2"/>
  <c r="M134" i="2" s="1"/>
  <c r="H23" i="1" s="1"/>
  <c r="O133" i="2"/>
  <c r="M133" i="2" s="1"/>
  <c r="H22" i="1" s="1"/>
  <c r="O132" i="2"/>
  <c r="M132" i="2" s="1"/>
  <c r="H21" i="1" s="1"/>
  <c r="O131" i="2"/>
  <c r="M131" i="2" s="1"/>
  <c r="H20" i="1" s="1"/>
  <c r="O130" i="2"/>
  <c r="M130" i="2" s="1"/>
  <c r="H19" i="1" s="1"/>
  <c r="O129" i="2"/>
  <c r="M129" i="2" s="1"/>
  <c r="H18" i="1" s="1"/>
  <c r="O128" i="2"/>
  <c r="M128" i="2" s="1"/>
  <c r="H17" i="1" s="1"/>
  <c r="O127" i="2"/>
  <c r="M127" i="2" s="1"/>
  <c r="H16" i="1" s="1"/>
  <c r="O126" i="2"/>
  <c r="M126" i="2" s="1"/>
  <c r="H15" i="1" s="1"/>
  <c r="O125" i="2"/>
  <c r="M125" i="2" s="1"/>
  <c r="H14" i="1" s="1"/>
  <c r="O124" i="2"/>
  <c r="M124" i="2" s="1"/>
  <c r="H13" i="1" s="1"/>
  <c r="O123" i="2"/>
  <c r="M123" i="2" s="1"/>
  <c r="F66" i="1" s="1"/>
  <c r="O122" i="2"/>
  <c r="M122" i="2" s="1"/>
  <c r="F65" i="1" s="1"/>
  <c r="O121" i="2"/>
  <c r="M121" i="2" s="1"/>
  <c r="F64" i="1" s="1"/>
  <c r="O120" i="2"/>
  <c r="M120" i="2" s="1"/>
  <c r="F63" i="1" s="1"/>
  <c r="O119" i="2"/>
  <c r="M119" i="2" s="1"/>
  <c r="F62" i="1" s="1"/>
  <c r="O118" i="2"/>
  <c r="M118" i="2" s="1"/>
  <c r="F61" i="1" s="1"/>
  <c r="O117" i="2"/>
  <c r="M117" i="2" s="1"/>
  <c r="F60" i="1" s="1"/>
  <c r="O116" i="2"/>
  <c r="M116" i="2" s="1"/>
  <c r="F59" i="1" s="1"/>
  <c r="O115" i="2"/>
  <c r="M115" i="2" s="1"/>
  <c r="F58" i="1" s="1"/>
  <c r="O114" i="2"/>
  <c r="M114" i="2" s="1"/>
  <c r="F57" i="1" s="1"/>
  <c r="O113" i="2"/>
  <c r="M113" i="2" s="1"/>
  <c r="F56" i="1" s="1"/>
  <c r="O112" i="2"/>
  <c r="M112" i="2" s="1"/>
  <c r="F55" i="1" s="1"/>
  <c r="O111" i="2"/>
  <c r="M111" i="2" s="1"/>
  <c r="F54" i="1" s="1"/>
  <c r="O110" i="2"/>
  <c r="M110" i="2" s="1"/>
  <c r="F53" i="1" s="1"/>
  <c r="O109" i="2"/>
  <c r="M109" i="2" s="1"/>
  <c r="F52" i="1" s="1"/>
  <c r="O108" i="2"/>
  <c r="M108" i="2" s="1"/>
  <c r="F51" i="1" s="1"/>
  <c r="O107" i="2"/>
  <c r="M107" i="2" s="1"/>
  <c r="F50" i="1" s="1"/>
  <c r="O106" i="2"/>
  <c r="M106" i="2" s="1"/>
  <c r="F49" i="1" s="1"/>
  <c r="O105" i="2"/>
  <c r="M105" i="2" s="1"/>
  <c r="F48" i="1" s="1"/>
  <c r="O104" i="2"/>
  <c r="M104" i="2" s="1"/>
  <c r="F47" i="1" s="1"/>
  <c r="O103" i="2"/>
  <c r="M103" i="2" s="1"/>
  <c r="F46" i="1" s="1"/>
  <c r="O102" i="2"/>
  <c r="M102" i="2" s="1"/>
  <c r="F45" i="1" s="1"/>
  <c r="O101" i="2"/>
  <c r="M101" i="2" s="1"/>
  <c r="F44" i="1" s="1"/>
  <c r="O100" i="2"/>
  <c r="M100" i="2" s="1"/>
  <c r="F43" i="1" s="1"/>
  <c r="O99" i="2"/>
  <c r="M99" i="2" s="1"/>
  <c r="F42" i="1" s="1"/>
  <c r="O98" i="2"/>
  <c r="M98" i="2" s="1"/>
  <c r="F41" i="1" s="1"/>
  <c r="O97" i="2"/>
  <c r="M97" i="2" s="1"/>
  <c r="F40" i="1" s="1"/>
  <c r="O96" i="2"/>
  <c r="M96" i="2" s="1"/>
  <c r="F39" i="1" s="1"/>
  <c r="O95" i="2"/>
  <c r="M95" i="2" s="1"/>
  <c r="F38" i="1" s="1"/>
  <c r="O94" i="2"/>
  <c r="M94" i="2" s="1"/>
  <c r="F37" i="1" s="1"/>
  <c r="O93" i="2"/>
  <c r="M93" i="2" s="1"/>
  <c r="F36" i="1" s="1"/>
  <c r="O92" i="2"/>
  <c r="M92" i="2" s="1"/>
  <c r="F35" i="1" s="1"/>
  <c r="O91" i="2"/>
  <c r="M91" i="2" s="1"/>
  <c r="F34" i="1" s="1"/>
  <c r="O90" i="2"/>
  <c r="M90" i="2" s="1"/>
  <c r="F33" i="1" s="1"/>
  <c r="O89" i="2"/>
  <c r="M89" i="2" s="1"/>
  <c r="F32" i="1" s="1"/>
  <c r="O88" i="2"/>
  <c r="M88" i="2" s="1"/>
  <c r="F31" i="1" s="1"/>
  <c r="O87" i="2"/>
  <c r="M87" i="2" s="1"/>
  <c r="F30" i="1" s="1"/>
  <c r="O86" i="2"/>
  <c r="M86" i="2" s="1"/>
  <c r="F29" i="1" s="1"/>
  <c r="O85" i="2"/>
  <c r="M85" i="2" s="1"/>
  <c r="F28" i="1" s="1"/>
  <c r="O84" i="2"/>
  <c r="M84" i="2" s="1"/>
  <c r="F27" i="1" s="1"/>
  <c r="O83" i="2"/>
  <c r="M83" i="2" s="1"/>
  <c r="F26" i="1" s="1"/>
  <c r="O82" i="2"/>
  <c r="M82" i="2" s="1"/>
  <c r="F25" i="1" s="1"/>
  <c r="O81" i="2"/>
  <c r="M81" i="2" s="1"/>
  <c r="F24" i="1" s="1"/>
  <c r="O80" i="2"/>
  <c r="M80" i="2" s="1"/>
  <c r="F23" i="1" s="1"/>
  <c r="O79" i="2"/>
  <c r="M79" i="2" s="1"/>
  <c r="F22" i="1" s="1"/>
  <c r="O78" i="2"/>
  <c r="M78" i="2" s="1"/>
  <c r="F21" i="1" s="1"/>
  <c r="O77" i="2"/>
  <c r="M77" i="2" s="1"/>
  <c r="F20" i="1" s="1"/>
  <c r="O76" i="2"/>
  <c r="M76" i="2" s="1"/>
  <c r="F19" i="1" s="1"/>
  <c r="O75" i="2"/>
  <c r="M75" i="2" s="1"/>
  <c r="F18" i="1" s="1"/>
  <c r="O74" i="2"/>
  <c r="M74" i="2" s="1"/>
  <c r="F17" i="1" s="1"/>
  <c r="O73" i="2"/>
  <c r="M73" i="2" s="1"/>
  <c r="F16" i="1" s="1"/>
  <c r="O72" i="2"/>
  <c r="M72" i="2" s="1"/>
  <c r="F15" i="1" s="1"/>
  <c r="O71" i="2"/>
  <c r="M71" i="2" s="1"/>
  <c r="F14" i="1" s="1"/>
  <c r="O70" i="2"/>
  <c r="M70" i="2" s="1"/>
  <c r="F13" i="1" s="1"/>
  <c r="H67" i="1" l="1"/>
  <c r="I60" i="1" s="1"/>
  <c r="F67" i="1"/>
  <c r="G28" i="1" s="1"/>
  <c r="O16" i="2"/>
  <c r="M16" i="2" s="1"/>
  <c r="D13" i="1" s="1"/>
  <c r="O17" i="2"/>
  <c r="M17" i="2" s="1"/>
  <c r="D14" i="1" s="1"/>
  <c r="J14" i="1" s="1"/>
  <c r="O18" i="2"/>
  <c r="M18" i="2" s="1"/>
  <c r="D15" i="1" s="1"/>
  <c r="O19" i="2"/>
  <c r="M19" i="2" s="1"/>
  <c r="D16" i="1" s="1"/>
  <c r="O20" i="2"/>
  <c r="M20" i="2" s="1"/>
  <c r="D17" i="1" s="1"/>
  <c r="J17" i="1" s="1"/>
  <c r="O21" i="2"/>
  <c r="M21" i="2" s="1"/>
  <c r="D18" i="1" s="1"/>
  <c r="J18" i="1" s="1"/>
  <c r="O22" i="2"/>
  <c r="M22" i="2" s="1"/>
  <c r="D19" i="1" s="1"/>
  <c r="O23" i="2"/>
  <c r="M23" i="2" s="1"/>
  <c r="D20" i="1" s="1"/>
  <c r="O24" i="2"/>
  <c r="M24" i="2" s="1"/>
  <c r="D21" i="1" s="1"/>
  <c r="J21" i="1" s="1"/>
  <c r="O25" i="2"/>
  <c r="M25" i="2" s="1"/>
  <c r="D22" i="1" s="1"/>
  <c r="O26" i="2"/>
  <c r="M26" i="2" s="1"/>
  <c r="D23" i="1" s="1"/>
  <c r="J23" i="1" s="1"/>
  <c r="O27" i="2"/>
  <c r="M27" i="2" s="1"/>
  <c r="D24" i="1" s="1"/>
  <c r="O28" i="2"/>
  <c r="M28" i="2" s="1"/>
  <c r="D25" i="1" s="1"/>
  <c r="O29" i="2"/>
  <c r="M29" i="2" s="1"/>
  <c r="D26" i="1" s="1"/>
  <c r="O30" i="2"/>
  <c r="M30" i="2" s="1"/>
  <c r="D27" i="1" s="1"/>
  <c r="J27" i="1" s="1"/>
  <c r="O31" i="2"/>
  <c r="M31" i="2" s="1"/>
  <c r="D28" i="1" s="1"/>
  <c r="O32" i="2"/>
  <c r="M32" i="2" s="1"/>
  <c r="D29" i="1" s="1"/>
  <c r="J29" i="1" s="1"/>
  <c r="O33" i="2"/>
  <c r="M33" i="2" s="1"/>
  <c r="D30" i="1" s="1"/>
  <c r="O34" i="2"/>
  <c r="M34" i="2" s="1"/>
  <c r="D31" i="1" s="1"/>
  <c r="O35" i="2"/>
  <c r="M35" i="2" s="1"/>
  <c r="D32" i="1" s="1"/>
  <c r="J32" i="1" s="1"/>
  <c r="O36" i="2"/>
  <c r="M36" i="2" s="1"/>
  <c r="D33" i="1" s="1"/>
  <c r="O37" i="2"/>
  <c r="M37" i="2" s="1"/>
  <c r="D34" i="1" s="1"/>
  <c r="O38" i="2"/>
  <c r="M38" i="2" s="1"/>
  <c r="D35" i="1" s="1"/>
  <c r="O39" i="2"/>
  <c r="M39" i="2" s="1"/>
  <c r="D36" i="1" s="1"/>
  <c r="O40" i="2"/>
  <c r="M40" i="2" s="1"/>
  <c r="D37" i="1" s="1"/>
  <c r="J37" i="1" s="1"/>
  <c r="O41" i="2"/>
  <c r="M41" i="2" s="1"/>
  <c r="D38" i="1" s="1"/>
  <c r="O42" i="2"/>
  <c r="M42" i="2" s="1"/>
  <c r="D39" i="1" s="1"/>
  <c r="J39" i="1" s="1"/>
  <c r="O43" i="2"/>
  <c r="M43" i="2" s="1"/>
  <c r="D40" i="1" s="1"/>
  <c r="O44" i="2"/>
  <c r="M44" i="2" s="1"/>
  <c r="D41" i="1" s="1"/>
  <c r="J41" i="1" s="1"/>
  <c r="O45" i="2"/>
  <c r="M45" i="2" s="1"/>
  <c r="D42" i="1" s="1"/>
  <c r="J42" i="1" s="1"/>
  <c r="O46" i="2"/>
  <c r="M46" i="2" s="1"/>
  <c r="D43" i="1" s="1"/>
  <c r="O47" i="2"/>
  <c r="M47" i="2" s="1"/>
  <c r="D44" i="1" s="1"/>
  <c r="O48" i="2"/>
  <c r="M48" i="2" s="1"/>
  <c r="D45" i="1" s="1"/>
  <c r="J45" i="1" s="1"/>
  <c r="O49" i="2"/>
  <c r="M49" i="2" s="1"/>
  <c r="D46" i="1" s="1"/>
  <c r="J46" i="1" s="1"/>
  <c r="O50" i="2"/>
  <c r="M50" i="2" s="1"/>
  <c r="D47" i="1" s="1"/>
  <c r="O51" i="2"/>
  <c r="M51" i="2" s="1"/>
  <c r="D48" i="1" s="1"/>
  <c r="O52" i="2"/>
  <c r="M52" i="2" s="1"/>
  <c r="D49" i="1" s="1"/>
  <c r="O53" i="2"/>
  <c r="M53" i="2" s="1"/>
  <c r="D50" i="1" s="1"/>
  <c r="J50" i="1" s="1"/>
  <c r="O54" i="2"/>
  <c r="M54" i="2" s="1"/>
  <c r="D51" i="1" s="1"/>
  <c r="O55" i="2"/>
  <c r="M55" i="2" s="1"/>
  <c r="D52" i="1" s="1"/>
  <c r="O56" i="2"/>
  <c r="M56" i="2" s="1"/>
  <c r="D53" i="1" s="1"/>
  <c r="J53" i="1" s="1"/>
  <c r="O57" i="2"/>
  <c r="M57" i="2" s="1"/>
  <c r="D54" i="1" s="1"/>
  <c r="O58" i="2"/>
  <c r="M58" i="2" s="1"/>
  <c r="D55" i="1" s="1"/>
  <c r="J55" i="1" s="1"/>
  <c r="O59" i="2"/>
  <c r="M59" i="2" s="1"/>
  <c r="D56" i="1" s="1"/>
  <c r="O60" i="2"/>
  <c r="M60" i="2" s="1"/>
  <c r="D57" i="1" s="1"/>
  <c r="O61" i="2"/>
  <c r="M61" i="2" s="1"/>
  <c r="D58" i="1" s="1"/>
  <c r="O62" i="2"/>
  <c r="M62" i="2" s="1"/>
  <c r="D59" i="1" s="1"/>
  <c r="J59" i="1" s="1"/>
  <c r="O63" i="2"/>
  <c r="M63" i="2" s="1"/>
  <c r="D60" i="1" s="1"/>
  <c r="J60" i="1" s="1"/>
  <c r="O64" i="2"/>
  <c r="M64" i="2" s="1"/>
  <c r="D61" i="1" s="1"/>
  <c r="J61" i="1" s="1"/>
  <c r="O65" i="2"/>
  <c r="M65" i="2" s="1"/>
  <c r="D62" i="1" s="1"/>
  <c r="O66" i="2"/>
  <c r="M66" i="2" s="1"/>
  <c r="D63" i="1" s="1"/>
  <c r="O67" i="2"/>
  <c r="M67" i="2" s="1"/>
  <c r="D64" i="1" s="1"/>
  <c r="J64" i="1" s="1"/>
  <c r="O68" i="2"/>
  <c r="M68" i="2" s="1"/>
  <c r="D65" i="1" s="1"/>
  <c r="O69" i="2"/>
  <c r="M69" i="2" s="1"/>
  <c r="D66" i="1" s="1"/>
  <c r="G41" i="1" l="1"/>
  <c r="G34" i="1"/>
  <c r="I66" i="1"/>
  <c r="I63" i="1"/>
  <c r="I44" i="1"/>
  <c r="I13" i="1"/>
  <c r="I56" i="1"/>
  <c r="I58" i="1"/>
  <c r="I15" i="1"/>
  <c r="I22" i="1"/>
  <c r="G18" i="1"/>
  <c r="I51" i="1"/>
  <c r="I32" i="1"/>
  <c r="I57" i="1"/>
  <c r="I35" i="1"/>
  <c r="I50" i="1"/>
  <c r="I47" i="1"/>
  <c r="I20" i="1"/>
  <c r="G46" i="1"/>
  <c r="I31" i="1"/>
  <c r="I49" i="1"/>
  <c r="I64" i="1"/>
  <c r="I41" i="1"/>
  <c r="I62" i="1"/>
  <c r="I34" i="1"/>
  <c r="I52" i="1"/>
  <c r="G63" i="1"/>
  <c r="I40" i="1"/>
  <c r="I65" i="1"/>
  <c r="I27" i="1"/>
  <c r="I48" i="1"/>
  <c r="I45" i="1"/>
  <c r="I23" i="1"/>
  <c r="I14" i="1"/>
  <c r="G13" i="1"/>
  <c r="I54" i="1"/>
  <c r="I19" i="1"/>
  <c r="I37" i="1"/>
  <c r="I39" i="1"/>
  <c r="I16" i="1"/>
  <c r="I61" i="1"/>
  <c r="I33" i="1"/>
  <c r="I55" i="1"/>
  <c r="I25" i="1"/>
  <c r="I28" i="1"/>
  <c r="I43" i="1"/>
  <c r="I46" i="1"/>
  <c r="I30" i="1"/>
  <c r="I29" i="1"/>
  <c r="I26" i="1"/>
  <c r="I36" i="1"/>
  <c r="I59" i="1"/>
  <c r="G24" i="1"/>
  <c r="I42" i="1"/>
  <c r="I53" i="1"/>
  <c r="I24" i="1"/>
  <c r="I21" i="1"/>
  <c r="I18" i="1"/>
  <c r="I17" i="1"/>
  <c r="I38" i="1"/>
  <c r="G55" i="1"/>
  <c r="G64" i="1"/>
  <c r="G47" i="1"/>
  <c r="G60" i="1"/>
  <c r="G14" i="1"/>
  <c r="G16" i="1"/>
  <c r="G31" i="1"/>
  <c r="G61" i="1"/>
  <c r="G15" i="1"/>
  <c r="G17" i="1"/>
  <c r="G39" i="1"/>
  <c r="G19" i="1"/>
  <c r="G53" i="1"/>
  <c r="G21" i="1"/>
  <c r="G27" i="1"/>
  <c r="G50" i="1"/>
  <c r="G37" i="1"/>
  <c r="G66" i="1"/>
  <c r="G43" i="1"/>
  <c r="G51" i="1"/>
  <c r="G23" i="1"/>
  <c r="G25" i="1"/>
  <c r="G38" i="1"/>
  <c r="G22" i="1"/>
  <c r="G49" i="1"/>
  <c r="G65" i="1"/>
  <c r="G33" i="1"/>
  <c r="G44" i="1"/>
  <c r="G20" i="1"/>
  <c r="G54" i="1"/>
  <c r="G32" i="1"/>
  <c r="G45" i="1"/>
  <c r="G52" i="1"/>
  <c r="G40" i="1"/>
  <c r="G26" i="1"/>
  <c r="G35" i="1"/>
  <c r="G48" i="1"/>
  <c r="G36" i="1"/>
  <c r="G42" i="1"/>
  <c r="G59" i="1"/>
  <c r="G57" i="1"/>
  <c r="G62" i="1"/>
  <c r="G56" i="1"/>
  <c r="G29" i="1"/>
  <c r="G58" i="1"/>
  <c r="G30" i="1"/>
  <c r="J66" i="1"/>
  <c r="J49" i="1"/>
  <c r="J33" i="1"/>
  <c r="J40" i="1"/>
  <c r="J16" i="1"/>
  <c r="J15" i="1"/>
  <c r="J62" i="1"/>
  <c r="J54" i="1"/>
  <c r="J38" i="1"/>
  <c r="J30" i="1"/>
  <c r="J22" i="1"/>
  <c r="J26" i="1"/>
  <c r="J57" i="1"/>
  <c r="J48" i="1"/>
  <c r="J24" i="1"/>
  <c r="J13" i="1"/>
  <c r="D67" i="1"/>
  <c r="E15" i="1" s="1"/>
  <c r="J52" i="1"/>
  <c r="J44" i="1"/>
  <c r="J36" i="1"/>
  <c r="J28" i="1"/>
  <c r="J20" i="1"/>
  <c r="J58" i="1"/>
  <c r="J34" i="1"/>
  <c r="J65" i="1"/>
  <c r="J25" i="1"/>
  <c r="J56" i="1"/>
  <c r="J63" i="1"/>
  <c r="J47" i="1"/>
  <c r="J31" i="1"/>
  <c r="J51" i="1"/>
  <c r="J43" i="1"/>
  <c r="J35" i="1"/>
  <c r="J19" i="1"/>
  <c r="B14" i="2"/>
  <c r="O2" i="5" s="1"/>
  <c r="N128" i="2"/>
  <c r="N110" i="2"/>
  <c r="N77" i="2"/>
  <c r="N113" i="2"/>
  <c r="N90" i="2"/>
  <c r="N116" i="2"/>
  <c r="N106" i="2"/>
  <c r="N76" i="2"/>
  <c r="N145" i="2"/>
  <c r="N140" i="2"/>
  <c r="N134" i="2"/>
  <c r="N139" i="2"/>
  <c r="N160" i="2"/>
  <c r="N124" i="2"/>
  <c r="N105" i="2"/>
  <c r="N123" i="2"/>
  <c r="N109" i="2"/>
  <c r="N121" i="2"/>
  <c r="N107" i="2"/>
  <c r="N92" i="2"/>
  <c r="N119" i="2"/>
  <c r="N136" i="2"/>
  <c r="N142" i="2"/>
  <c r="N151" i="2"/>
  <c r="N130" i="2"/>
  <c r="N170" i="2"/>
  <c r="N133" i="2"/>
  <c r="N101" i="2"/>
  <c r="N114" i="2"/>
  <c r="N104" i="2"/>
  <c r="N117" i="2"/>
  <c r="N98" i="2"/>
  <c r="N83" i="2"/>
  <c r="N173" i="2"/>
  <c r="N131" i="2"/>
  <c r="N167" i="2"/>
  <c r="N176" i="2"/>
  <c r="N166" i="2"/>
  <c r="N161" i="2"/>
  <c r="N155" i="2"/>
  <c r="N96" i="2"/>
  <c r="N100" i="2"/>
  <c r="N86" i="2"/>
  <c r="N112" i="2"/>
  <c r="N84" i="2"/>
  <c r="N74" i="2"/>
  <c r="N159" i="2"/>
  <c r="N174" i="2"/>
  <c r="N158" i="2"/>
  <c r="N171" i="2"/>
  <c r="N143" i="2"/>
  <c r="N156" i="2"/>
  <c r="N146" i="2"/>
  <c r="N111" i="2"/>
  <c r="N78" i="2"/>
  <c r="N91" i="2"/>
  <c r="N81" i="2"/>
  <c r="N94" i="2"/>
  <c r="N75" i="2"/>
  <c r="N97" i="2"/>
  <c r="N150" i="2"/>
  <c r="N177" i="2"/>
  <c r="N149" i="2"/>
  <c r="N162" i="2"/>
  <c r="N125" i="2"/>
  <c r="N152" i="2"/>
  <c r="N137" i="2"/>
  <c r="N103" i="2"/>
  <c r="N79" i="2"/>
  <c r="N82" i="2"/>
  <c r="N122" i="2"/>
  <c r="N89" i="2"/>
  <c r="N120" i="2"/>
  <c r="N93" i="2"/>
  <c r="N141" i="2"/>
  <c r="N172" i="2"/>
  <c r="N135" i="2"/>
  <c r="N153" i="2"/>
  <c r="N169" i="2"/>
  <c r="N147" i="2"/>
  <c r="N164" i="2"/>
  <c r="N95" i="2"/>
  <c r="N73" i="2"/>
  <c r="N72" i="2"/>
  <c r="N108" i="2"/>
  <c r="N85" i="2"/>
  <c r="N102" i="2"/>
  <c r="N88" i="2"/>
  <c r="N127" i="2"/>
  <c r="N168" i="2"/>
  <c r="N126" i="2"/>
  <c r="N148" i="2"/>
  <c r="N175" i="2"/>
  <c r="N138" i="2"/>
  <c r="N132" i="2"/>
  <c r="N87" i="2"/>
  <c r="N71" i="2"/>
  <c r="N118" i="2"/>
  <c r="N99" i="2"/>
  <c r="N80" i="2"/>
  <c r="N115" i="2"/>
  <c r="N70" i="2"/>
  <c r="N163" i="2"/>
  <c r="N154" i="2"/>
  <c r="N157" i="2"/>
  <c r="N144" i="2"/>
  <c r="N165" i="2"/>
  <c r="N129" i="2"/>
  <c r="N69" i="2"/>
  <c r="N53" i="2"/>
  <c r="N40" i="2"/>
  <c r="N63" i="2"/>
  <c r="N47" i="2"/>
  <c r="N24" i="2"/>
  <c r="N62" i="2"/>
  <c r="N54" i="2"/>
  <c r="N46" i="2"/>
  <c r="N38" i="2"/>
  <c r="N30" i="2"/>
  <c r="N22" i="2"/>
  <c r="N55" i="2"/>
  <c r="N37" i="2"/>
  <c r="N52" i="2"/>
  <c r="N28" i="2"/>
  <c r="N67" i="2"/>
  <c r="N59" i="2"/>
  <c r="N51" i="2"/>
  <c r="N43" i="2"/>
  <c r="N35" i="2"/>
  <c r="N27" i="2"/>
  <c r="N19" i="2"/>
  <c r="N61" i="2"/>
  <c r="N23" i="2"/>
  <c r="N21" i="2"/>
  <c r="N56" i="2"/>
  <c r="N60" i="2"/>
  <c r="N36" i="2"/>
  <c r="N66" i="2"/>
  <c r="N58" i="2"/>
  <c r="N50" i="2"/>
  <c r="N42" i="2"/>
  <c r="N34" i="2"/>
  <c r="N26" i="2"/>
  <c r="N18" i="2"/>
  <c r="N32" i="2"/>
  <c r="N45" i="2"/>
  <c r="N29" i="2"/>
  <c r="N68" i="2"/>
  <c r="N44" i="2"/>
  <c r="N20" i="2"/>
  <c r="N39" i="2"/>
  <c r="N17" i="2"/>
  <c r="N65" i="2"/>
  <c r="N57" i="2"/>
  <c r="N49" i="2"/>
  <c r="N41" i="2"/>
  <c r="N33" i="2"/>
  <c r="N25" i="2"/>
  <c r="N64" i="2"/>
  <c r="N48" i="2"/>
  <c r="N31" i="2"/>
  <c r="N16" i="2"/>
  <c r="I67" i="1" l="1"/>
  <c r="G67" i="1"/>
  <c r="E20" i="1"/>
  <c r="E43" i="1"/>
  <c r="E65" i="1"/>
  <c r="E53" i="1"/>
  <c r="E36" i="1"/>
  <c r="E13" i="1"/>
  <c r="E34" i="1"/>
  <c r="E47" i="1"/>
  <c r="E52" i="1"/>
  <c r="E29" i="1"/>
  <c r="E33" i="1"/>
  <c r="E38" i="1"/>
  <c r="E50" i="1"/>
  <c r="E57" i="1"/>
  <c r="E66" i="1"/>
  <c r="E41" i="1"/>
  <c r="E35" i="1"/>
  <c r="E48" i="1"/>
  <c r="E63" i="1"/>
  <c r="E44" i="1"/>
  <c r="E54" i="1"/>
  <c r="E28" i="1"/>
  <c r="E42" i="1"/>
  <c r="E37" i="1"/>
  <c r="E51" i="1"/>
  <c r="E56" i="1"/>
  <c r="E58" i="1"/>
  <c r="E55" i="1"/>
  <c r="E49" i="1"/>
  <c r="E18" i="1"/>
  <c r="E19" i="1"/>
  <c r="E31" i="1"/>
  <c r="E25" i="1"/>
  <c r="E17" i="1"/>
  <c r="J67" i="1"/>
  <c r="K14" i="1" s="1"/>
  <c r="E30" i="1"/>
  <c r="E59" i="1"/>
  <c r="E14" i="1"/>
  <c r="E21" i="1"/>
  <c r="E27" i="1"/>
  <c r="E61" i="1"/>
  <c r="E60" i="1"/>
  <c r="E32" i="1"/>
  <c r="E23" i="1"/>
  <c r="E45" i="1"/>
  <c r="E26" i="1"/>
  <c r="E16" i="1"/>
  <c r="E24" i="1"/>
  <c r="E64" i="1"/>
  <c r="E40" i="1"/>
  <c r="E39" i="1"/>
  <c r="E46" i="1"/>
  <c r="E22" i="1"/>
  <c r="E62" i="1"/>
  <c r="K36" i="1" l="1"/>
  <c r="K34" i="1"/>
  <c r="K58" i="1"/>
  <c r="K24" i="1"/>
  <c r="K15" i="1"/>
  <c r="K18" i="1"/>
  <c r="K57" i="1"/>
  <c r="K64" i="1"/>
  <c r="K56" i="1"/>
  <c r="K20" i="1"/>
  <c r="K66" i="1"/>
  <c r="K13" i="1"/>
  <c r="K49" i="1"/>
  <c r="K39" i="1"/>
  <c r="K60" i="1"/>
  <c r="K21" i="1"/>
  <c r="K51" i="1"/>
  <c r="K31" i="1"/>
  <c r="K30" i="1"/>
  <c r="K42" i="1"/>
  <c r="K46" i="1"/>
  <c r="K63" i="1"/>
  <c r="K32" i="1"/>
  <c r="K55" i="1"/>
  <c r="K28" i="1"/>
  <c r="K19" i="1"/>
  <c r="K62" i="1"/>
  <c r="K65" i="1"/>
  <c r="E67" i="1"/>
  <c r="K29" i="1"/>
  <c r="K37" i="1"/>
  <c r="K23" i="1"/>
  <c r="K25" i="1"/>
  <c r="K22" i="1"/>
  <c r="K38" i="1"/>
  <c r="K61" i="1"/>
  <c r="K50" i="1"/>
  <c r="K53" i="1"/>
  <c r="K44" i="1"/>
  <c r="K47" i="1"/>
  <c r="K43" i="1"/>
  <c r="K17" i="1"/>
  <c r="K54" i="1"/>
  <c r="K33" i="1"/>
  <c r="K35" i="1"/>
  <c r="K48" i="1"/>
  <c r="K40" i="1"/>
  <c r="K16" i="1"/>
  <c r="K27" i="1"/>
  <c r="K59" i="1"/>
  <c r="K52" i="1"/>
  <c r="K26" i="1"/>
  <c r="K41" i="1"/>
  <c r="K45" i="1"/>
  <c r="K67" i="1" l="1"/>
</calcChain>
</file>

<file path=xl/sharedStrings.xml><?xml version="1.0" encoding="utf-8"?>
<sst xmlns="http://schemas.openxmlformats.org/spreadsheetml/2006/main" count="1997" uniqueCount="364">
  <si>
    <t>FICHA DE CARACTERIZACIÓN</t>
  </si>
  <si>
    <t>DATOS GENERALES</t>
  </si>
  <si>
    <t>Instalación </t>
  </si>
  <si>
    <t>Empresa caracterizadora</t>
  </si>
  <si>
    <t>Fecha y hora del muestreo</t>
  </si>
  <si>
    <r>
      <t xml:space="preserve">Modelo de separación de residuos </t>
    </r>
    <r>
      <rPr>
        <b/>
        <sz val="7"/>
        <color theme="3"/>
        <rFont val="Cambria"/>
        <family val="1"/>
      </rPr>
      <t>[i]</t>
    </r>
  </si>
  <si>
    <t>Origen del residuo (vehículo/ foso/ contenedor)</t>
  </si>
  <si>
    <t>Fracción origen de la muestra</t>
  </si>
  <si>
    <t>Matrícula del vehículo (si procede)/ ruta</t>
  </si>
  <si>
    <r>
      <t xml:space="preserve">FRACCIÓN-CONTENEDOR </t>
    </r>
    <r>
      <rPr>
        <b/>
        <sz val="7"/>
        <color theme="3"/>
        <rFont val="Cambria"/>
        <family val="1"/>
      </rPr>
      <t>[ii]</t>
    </r>
  </si>
  <si>
    <t>COMPONENTE</t>
  </si>
  <si>
    <t>DOMÉSTICOS</t>
  </si>
  <si>
    <t>Peso (kg)</t>
  </si>
  <si>
    <t>%</t>
  </si>
  <si>
    <t>Papel – cartón</t>
  </si>
  <si>
    <t>Papel y Cartón envase (Con Pto. Verde)</t>
  </si>
  <si>
    <t>Papel y Cartón envase (Sin Pto. Verde)</t>
  </si>
  <si>
    <t>Papel/Cartón No Envase</t>
  </si>
  <si>
    <t>Brik</t>
  </si>
  <si>
    <t>Envase</t>
  </si>
  <si>
    <t>No envase</t>
  </si>
  <si>
    <t>Metales férricos</t>
  </si>
  <si>
    <t>Acero</t>
  </si>
  <si>
    <t>Metales no férricos</t>
  </si>
  <si>
    <t>Aluminio</t>
  </si>
  <si>
    <t>Madera</t>
  </si>
  <si>
    <r>
      <t xml:space="preserve">Plásticos </t>
    </r>
    <r>
      <rPr>
        <b/>
        <sz val="7"/>
        <color rgb="FFFF0000"/>
        <rFont val="Cambria"/>
        <family val="1"/>
      </rPr>
      <t>(excepto SUP*)</t>
    </r>
  </si>
  <si>
    <t xml:space="preserve">PET </t>
  </si>
  <si>
    <t>FILM (Bolsas basura)</t>
  </si>
  <si>
    <t>PVC</t>
  </si>
  <si>
    <t>PP</t>
  </si>
  <si>
    <t>PS (excepto EPS)</t>
  </si>
  <si>
    <t>EPS</t>
  </si>
  <si>
    <t>Otros Plásticos</t>
  </si>
  <si>
    <t>* Plásticos de un solo uso (SUP) [iii]</t>
  </si>
  <si>
    <t>Botellas para bebidas de hasta tres litros de capacidad, incluidos sus tapas y tapones</t>
  </si>
  <si>
    <t>Productos de tabaco con filtro y fitros comercializados para utilizarse en combinación con productos del tabaco</t>
  </si>
  <si>
    <t>Recipientes para alimentos</t>
  </si>
  <si>
    <t>Vasos para bebidas (incluidas sus tapas y tapones)</t>
  </si>
  <si>
    <t>Biorresiduos</t>
  </si>
  <si>
    <r>
      <t>RAEE</t>
    </r>
    <r>
      <rPr>
        <sz val="7"/>
        <color theme="3"/>
        <rFont val="Cambria"/>
        <family val="1"/>
      </rPr>
      <t xml:space="preserve"> [iv]</t>
    </r>
  </si>
  <si>
    <t>Otros</t>
  </si>
  <si>
    <t>Pilas y Acumuladores</t>
  </si>
  <si>
    <t>Baterías de Vehículos</t>
  </si>
  <si>
    <t>Textiles y piel</t>
  </si>
  <si>
    <t>Textiles y celulósicos sanitarios</t>
  </si>
  <si>
    <t>Cantidad de Producto en Envases (Sólido)</t>
  </si>
  <si>
    <t>Cantidad de Producto en Envases (líquido-no aceite)</t>
  </si>
  <si>
    <t>Tierras y Escombros</t>
  </si>
  <si>
    <t>Caucho</t>
  </si>
  <si>
    <t xml:space="preserve">SUBTOTAL FRACCIÓN </t>
  </si>
  <si>
    <t xml:space="preserve">Vidrio </t>
  </si>
  <si>
    <t>FILM (Excepto bolsas basura)</t>
  </si>
  <si>
    <r>
      <t>[i]</t>
    </r>
    <r>
      <rPr>
        <sz val="10"/>
        <color theme="3"/>
        <rFont val="Calibri"/>
        <family val="2"/>
        <scheme val="minor"/>
      </rPr>
      <t xml:space="preserve"> Entre los modelos de separación de residuos de competencia municipal en España:</t>
    </r>
  </si>
  <si>
    <t>https://www.miteco.gob.es/es/calidad-y-evaluacion-ambiental/temas/prevencion-y-gestion-residuos/flujos/domesticos/gestion/modelo_gestion/</t>
  </si>
  <si>
    <r>
      <t>[ii]</t>
    </r>
    <r>
      <rPr>
        <sz val="10"/>
        <color theme="3"/>
        <rFont val="Calibri"/>
        <family val="2"/>
        <scheme val="minor"/>
      </rPr>
      <t xml:space="preserve"> Se cumplimentará una ficha por cada fracción objeto de caracterización.</t>
    </r>
  </si>
  <si>
    <r>
      <t>[iii]</t>
    </r>
    <r>
      <rPr>
        <sz val="10"/>
        <color theme="3"/>
        <rFont val="Calibri"/>
        <family val="2"/>
        <scheme val="minor"/>
      </rPr>
      <t xml:space="preserve"> En cumplimiento de la Directiva (UE) 2019/904 del Parlamento Europeo y del Consejo de 5 de junio de 2019 relativa a la reducción del impacto de determinados productos de plástico en el medio ambiente</t>
    </r>
  </si>
  <si>
    <t>https://www.boe.es/doue/2019/155/L00001-00019.pdf</t>
  </si>
  <si>
    <t xml:space="preserve">RAEE </t>
  </si>
  <si>
    <t>PEAD</t>
  </si>
  <si>
    <t>PEBD</t>
  </si>
  <si>
    <t>Tamaño de la muestra (kg)</t>
  </si>
  <si>
    <t>Sistema de recogida (contenedor,PaP, Neumática)  </t>
  </si>
  <si>
    <t>Análisis complementarios: Humedad/Suciedad. (si procede)</t>
  </si>
  <si>
    <t>Kg. De muestra a analizar/ Laboratorio (si procede)</t>
  </si>
  <si>
    <t>Procedencia de la muestra (entidad de recogida)</t>
  </si>
  <si>
    <t>Restos de alimentos no cocinados y restos derivados de la preparación de alimentos</t>
  </si>
  <si>
    <t>Restos de alimentos cocinados</t>
  </si>
  <si>
    <t>Celulosas: Papel de cocina, servilletas</t>
  </si>
  <si>
    <t>Derroche alimentario: alimentos caducados y en mal estado (a granel o en envases abiertos, el envase se separará en su fracción)</t>
  </si>
  <si>
    <t>Aceite de cocina usados (contenidos en envases)</t>
  </si>
  <si>
    <t>Restos vegetales (césped, hojas, flores, etc.)</t>
  </si>
  <si>
    <t>Restos de poda (ramas, arbustos, etc.)</t>
  </si>
  <si>
    <t>Baterias</t>
  </si>
  <si>
    <t>Textiles</t>
  </si>
  <si>
    <t>Textiles sanitarios</t>
  </si>
  <si>
    <t>Tierras y RCDs</t>
  </si>
  <si>
    <t>Restos de obras menores</t>
  </si>
  <si>
    <t>Inclasificables mayores de 50 mm</t>
  </si>
  <si>
    <t>Finos &lt; 50 mm (si &gt; 2kg*, se hará una analitica en laboratorio)</t>
  </si>
  <si>
    <t>Otros otros  (cuerdas multimaterial…)</t>
  </si>
  <si>
    <t>Otros restos de cocina compostables: bolsas, corchos, palillos de madera y otros resto compostables (vasos de papel, etc.)</t>
  </si>
  <si>
    <t>COMERCIALES</t>
  </si>
  <si>
    <t>TOTAL COMERCIAL+INDUSTRIAL/AGRICOLA+DOMESTICO</t>
  </si>
  <si>
    <t>ACEITE</t>
  </si>
  <si>
    <t>ORIGEN</t>
  </si>
  <si>
    <t>NIVEL 0</t>
  </si>
  <si>
    <t>NIVEL 1</t>
  </si>
  <si>
    <t>NIVEL 2</t>
  </si>
  <si>
    <t>Plásticos (excepto SUP*)</t>
  </si>
  <si>
    <t>INDUSTRIALES / AGRICOLAS</t>
  </si>
  <si>
    <r>
      <t>RAEE</t>
    </r>
    <r>
      <rPr>
        <sz val="10"/>
        <color theme="3"/>
        <rFont val="Calibri"/>
        <family val="2"/>
        <scheme val="minor"/>
      </rPr>
      <t xml:space="preserve"> [iv]</t>
    </r>
  </si>
  <si>
    <t>TARA</t>
  </si>
  <si>
    <t>PESADA 1</t>
  </si>
  <si>
    <t>PESADA 2</t>
  </si>
  <si>
    <t>PESADA 3</t>
  </si>
  <si>
    <t>PESADA 4</t>
  </si>
  <si>
    <t>PESADA 5</t>
  </si>
  <si>
    <t>TOTAL</t>
  </si>
  <si>
    <t>Etiquetas de fila</t>
  </si>
  <si>
    <t>Total general</t>
  </si>
  <si>
    <t>RAEE [iv]</t>
  </si>
  <si>
    <t>nº Pesadas</t>
  </si>
  <si>
    <t>MATERIA ORGANICA</t>
  </si>
  <si>
    <t>Impropio</t>
  </si>
  <si>
    <t>Solicitado</t>
  </si>
  <si>
    <t>ENVASES LIGEROS FRACCIONES</t>
  </si>
  <si>
    <t>PAÑALES Y RESTO HUMEDO SECO</t>
  </si>
  <si>
    <t>RESTO FRACCIONES/ASIMILABLE A RESTO</t>
  </si>
  <si>
    <t>Observaciones</t>
  </si>
  <si>
    <t>Instalación donde se realiza la caracterización</t>
  </si>
  <si>
    <t>Peso caracterizado</t>
  </si>
  <si>
    <t>ENVASES Y MATERIALES HUMEDO SECO</t>
  </si>
  <si>
    <t>nº</t>
  </si>
  <si>
    <t>Tipo de caracterizacion</t>
  </si>
  <si>
    <t>TIPO DE CARACTERIZACION (Resto, Organica, Envases Ligeros, …)</t>
  </si>
  <si>
    <t>Año</t>
  </si>
  <si>
    <t>SUMA DOMESTICOS</t>
  </si>
  <si>
    <t>SUMA COMERCIAL</t>
  </si>
  <si>
    <t>SUMA INDUSTRIAL/AGRICOLA</t>
  </si>
  <si>
    <t>% DOMESTICOS/TOTAL</t>
  </si>
  <si>
    <t>% COMERCIAL/TOTAL</t>
  </si>
  <si>
    <t>% IND-AGR/TOTAL</t>
  </si>
  <si>
    <t>SUMA IMPROPIOS</t>
  </si>
  <si>
    <t>% IMPROPIOS</t>
  </si>
  <si>
    <t>Residuo</t>
  </si>
  <si>
    <t>Suma de TOTAL</t>
  </si>
  <si>
    <t>Suma de %</t>
  </si>
  <si>
    <t>DOMÉSTICOS Papel – cartón  Papel y Cartón envase (Con Pto. Verde)</t>
  </si>
  <si>
    <t>DOMÉSTICOS Papel – cartón  Papel y Cartón envase (Sin Pto. Verde)</t>
  </si>
  <si>
    <t>DOMÉSTICOS Papel – cartón  Papel/Cartón No Envase</t>
  </si>
  <si>
    <t>DOMÉSTICOS Brik  Envase</t>
  </si>
  <si>
    <t>DOMÉSTICOS Vidrio   Envase</t>
  </si>
  <si>
    <t>DOMÉSTICOS Vidrio   No envase</t>
  </si>
  <si>
    <t>DOMÉSTICOS Metales férricos Acero Envase</t>
  </si>
  <si>
    <t>DOMÉSTICOS Metales férricos Acero No envase</t>
  </si>
  <si>
    <t>DOMÉSTICOS Metales no férricos Aluminio Envase</t>
  </si>
  <si>
    <t>DOMÉSTICOS Metales no férricos Aluminio No envase</t>
  </si>
  <si>
    <t>DOMÉSTICOS Madera  Envase</t>
  </si>
  <si>
    <t>DOMÉSTICOS Madera  No envase</t>
  </si>
  <si>
    <t>DOMÉSTICOS Plásticos (excepto SUP*) PET  Envase</t>
  </si>
  <si>
    <t>DOMÉSTICOS Plásticos (excepto SUP*) PET  No envase</t>
  </si>
  <si>
    <t>DOMÉSTICOS Plásticos (excepto SUP*) PEAD Envase</t>
  </si>
  <si>
    <t>DOMÉSTICOS Plásticos (excepto SUP*) PEAD No envase</t>
  </si>
  <si>
    <t>DOMÉSTICOS Plásticos (excepto SUP*) PEBD Envase</t>
  </si>
  <si>
    <t>DOMÉSTICOS Plásticos (excepto SUP*) PEBD No envase</t>
  </si>
  <si>
    <t>DOMÉSTICOS Plásticos (excepto SUP*) PVC Envase</t>
  </si>
  <si>
    <t>DOMÉSTICOS Plásticos (excepto SUP*) PVC No envase</t>
  </si>
  <si>
    <t>DOMÉSTICOS Plásticos (excepto SUP*) PP Envase</t>
  </si>
  <si>
    <t>DOMÉSTICOS Plásticos (excepto SUP*) PP No envase</t>
  </si>
  <si>
    <t>DOMÉSTICOS Plásticos (excepto SUP*) PS (excepto EPS) Envase</t>
  </si>
  <si>
    <t>DOMÉSTICOS Plásticos (excepto SUP*) PS (excepto EPS) No envase</t>
  </si>
  <si>
    <t>DOMÉSTICOS Plásticos (excepto SUP*) EPS Envase</t>
  </si>
  <si>
    <t>DOMÉSTICOS Plásticos (excepto SUP*) EPS No envase</t>
  </si>
  <si>
    <t>DOMÉSTICOS Plásticos (excepto SUP*) Otros Plásticos Envase</t>
  </si>
  <si>
    <t>DOMÉSTICOS Plásticos (excepto SUP*) Otros Plásticos No envase</t>
  </si>
  <si>
    <t xml:space="preserve">DOMÉSTICOS * Plásticos de un solo uso (SUP) [iii] Botellas para bebidas de hasta tres litros de capacidad, incluidos sus tapas y tapones </t>
  </si>
  <si>
    <t xml:space="preserve">DOMÉSTICOS * Plásticos de un solo uso (SUP) [iii] Productos de tabaco con filtro y fitros comercializados para utilizarse en combinación con productos del tabaco </t>
  </si>
  <si>
    <t xml:space="preserve">DOMÉSTICOS * Plásticos de un solo uso (SUP) [iii] Recipientes para alimentos </t>
  </si>
  <si>
    <t xml:space="preserve">DOMÉSTICOS * Plásticos de un solo uso (SUP) [iii] Vasos para bebidas (incluidas sus tapas y tapones) </t>
  </si>
  <si>
    <t xml:space="preserve">DOMÉSTICOS * Plásticos de un solo uso (SUP) [iii] Otros </t>
  </si>
  <si>
    <t xml:space="preserve">DOMÉSTICOS Biorresiduos Restos de alimentos no cocinados y restos derivados de la preparación de alimentos </t>
  </si>
  <si>
    <t xml:space="preserve">DOMÉSTICOS Biorresiduos Restos de alimentos cocinados </t>
  </si>
  <si>
    <t xml:space="preserve">DOMÉSTICOS Biorresiduos Celulosas: Papel de cocina, servilletas </t>
  </si>
  <si>
    <t xml:space="preserve">DOMÉSTICOS Biorresiduos Otros restos de cocina compostables: bolsas, corchos, palillos de madera y otros resto compostables (vasos de papel, etc.) </t>
  </si>
  <si>
    <t xml:space="preserve">DOMÉSTICOS Biorresiduos Derroche alimentario: alimentos caducados y en mal estado (a granel o en envases abiertos, el envase se separará en su fracción) </t>
  </si>
  <si>
    <t xml:space="preserve">DOMÉSTICOS Biorresiduos Restos vegetales (césped, hojas, flores, etc.) </t>
  </si>
  <si>
    <t xml:space="preserve">DOMÉSTICOS Biorresiduos Restos de poda (ramas, arbustos, etc.) </t>
  </si>
  <si>
    <t xml:space="preserve">DOMÉSTICOS ACEITE Aceite de cocina usados (contenidos en envases) </t>
  </si>
  <si>
    <t xml:space="preserve">DOMÉSTICOS RAEE [iv] RAEE  </t>
  </si>
  <si>
    <t xml:space="preserve">DOMÉSTICOS Baterias Pilas y Acumuladores </t>
  </si>
  <si>
    <t xml:space="preserve">DOMÉSTICOS Baterias Baterías de Vehículos </t>
  </si>
  <si>
    <t xml:space="preserve">DOMÉSTICOS Textiles Textiles y piel </t>
  </si>
  <si>
    <t xml:space="preserve">DOMÉSTICOS Textiles sanitarios Textiles y celulósicos sanitarios </t>
  </si>
  <si>
    <t xml:space="preserve">DOMÉSTICOS Tierras y RCDs Tierras y Escombros </t>
  </si>
  <si>
    <t xml:space="preserve">DOMÉSTICOS Tierras y RCDs Restos de obras menores </t>
  </si>
  <si>
    <t xml:space="preserve">DOMÉSTICOS Otros Inclasificables mayores de 50 mm </t>
  </si>
  <si>
    <t xml:space="preserve">DOMÉSTICOS Otros Finos &lt; 50 mm (si &gt; 2kg*, se hará una analitica en laboratorio) </t>
  </si>
  <si>
    <t xml:space="preserve">DOMÉSTICOS Otros Cantidad de Producto en Envases (Sólido) </t>
  </si>
  <si>
    <t xml:space="preserve">DOMÉSTICOS Otros Cantidad de Producto en Envases (líquido-no aceite) </t>
  </si>
  <si>
    <t xml:space="preserve">DOMÉSTICOS Otros Caucho </t>
  </si>
  <si>
    <t xml:space="preserve">DOMÉSTICOS Otros Otros otros  (cuerdas multimaterial…) </t>
  </si>
  <si>
    <t>COMERCIALES Papel – cartón  Papel y Cartón envase (Con Pto. Verde)</t>
  </si>
  <si>
    <t>COMERCIALES Papel – cartón  Papel y Cartón envase (Sin Pto. Verde)</t>
  </si>
  <si>
    <t>COMERCIALES Papel – cartón  Papel/Cartón No Envase</t>
  </si>
  <si>
    <t>COMERCIALES Brik  Envase</t>
  </si>
  <si>
    <t>COMERCIALES Vidrio   Envase</t>
  </si>
  <si>
    <t>COMERCIALES Vidrio   No envase</t>
  </si>
  <si>
    <t>COMERCIALES Metales férricos Acero Envase</t>
  </si>
  <si>
    <t>COMERCIALES Metales férricos Acero No envase</t>
  </si>
  <si>
    <t>COMERCIALES Metales no férricos Aluminio Envase</t>
  </si>
  <si>
    <t>COMERCIALES Metales no férricos Aluminio No envase</t>
  </si>
  <si>
    <t>COMERCIALES Madera  Envase</t>
  </si>
  <si>
    <t>COMERCIALES Madera  No envase</t>
  </si>
  <si>
    <t>COMERCIALES Plásticos (excepto SUP*) PET  Envase</t>
  </si>
  <si>
    <t>COMERCIALES Plásticos (excepto SUP*) PET  No envase</t>
  </si>
  <si>
    <t>COMERCIALES Plásticos (excepto SUP*) PEAD Envase</t>
  </si>
  <si>
    <t>COMERCIALES Plásticos (excepto SUP*) PEAD No envase</t>
  </si>
  <si>
    <t>COMERCIALES Plásticos (excepto SUP*) PEBD Envase</t>
  </si>
  <si>
    <t>COMERCIALES Plásticos (excepto SUP*) PEBD No envase</t>
  </si>
  <si>
    <t>COMERCIALES Plásticos (excepto SUP*) PVC Envase</t>
  </si>
  <si>
    <t>COMERCIALES Plásticos (excepto SUP*) PVC No envase</t>
  </si>
  <si>
    <t>COMERCIALES Plásticos (excepto SUP*) PP Envase</t>
  </si>
  <si>
    <t>COMERCIALES Plásticos (excepto SUP*) PP No envase</t>
  </si>
  <si>
    <t>COMERCIALES Plásticos (excepto SUP*) PS (excepto EPS) Envase</t>
  </si>
  <si>
    <t>COMERCIALES Plásticos (excepto SUP*) PS (excepto EPS) No envase</t>
  </si>
  <si>
    <t>COMERCIALES Plásticos (excepto SUP*) EPS Envase</t>
  </si>
  <si>
    <t>COMERCIALES Plásticos (excepto SUP*) EPS No envase</t>
  </si>
  <si>
    <t>COMERCIALES Plásticos (excepto SUP*) Otros Plásticos Envase</t>
  </si>
  <si>
    <t>COMERCIALES Plásticos (excepto SUP*) Otros Plásticos No envase</t>
  </si>
  <si>
    <t xml:space="preserve">COMERCIALES * Plásticos de un solo uso (SUP) [iii] Botellas para bebidas de hasta tres litros de capacidad, incluidos sus tapas y tapones </t>
  </si>
  <si>
    <t xml:space="preserve">COMERCIALES * Plásticos de un solo uso (SUP) [iii] Productos de tabaco con filtro y fitros comercializados para utilizarse en combinación con productos del tabaco </t>
  </si>
  <si>
    <t xml:space="preserve">COMERCIALES * Plásticos de un solo uso (SUP) [iii] Recipientes para alimentos </t>
  </si>
  <si>
    <t xml:space="preserve">COMERCIALES * Plásticos de un solo uso (SUP) [iii] Vasos para bebidas (incluidas sus tapas y tapones) </t>
  </si>
  <si>
    <t xml:space="preserve">COMERCIALES * Plásticos de un solo uso (SUP) [iii] Otros </t>
  </si>
  <si>
    <t xml:space="preserve">COMERCIALES Biorresiduos Restos de alimentos no cocinados y restos derivados de la preparación de alimentos </t>
  </si>
  <si>
    <t xml:space="preserve">COMERCIALES Biorresiduos Restos de alimentos cocinados </t>
  </si>
  <si>
    <t xml:space="preserve">COMERCIALES Biorresiduos Celulosas: Papel de cocina, servilletas </t>
  </si>
  <si>
    <t xml:space="preserve">COMERCIALES Biorresiduos Otros restos de cocina compostables: bolsas, corchos, palillos de madera y otros resto compostables (vasos de papel, etc.) </t>
  </si>
  <si>
    <t xml:space="preserve">COMERCIALES Biorresiduos Derroche alimentario: alimentos caducados y en mal estado (a granel o en envases abiertos, el envase se separará en su fracción) </t>
  </si>
  <si>
    <t xml:space="preserve">COMERCIALES Biorresiduos Restos vegetales (césped, hojas, flores, etc.) </t>
  </si>
  <si>
    <t xml:space="preserve">COMERCIALES Biorresiduos Restos de poda (ramas, arbustos, etc.) </t>
  </si>
  <si>
    <t xml:space="preserve">COMERCIALES ACEITE Aceite de cocina usados (contenidos en envases) </t>
  </si>
  <si>
    <t xml:space="preserve">COMERCIALES RAEE [iv] RAEE  </t>
  </si>
  <si>
    <t xml:space="preserve">COMERCIALES Baterias Pilas y Acumuladores </t>
  </si>
  <si>
    <t xml:space="preserve">COMERCIALES Baterias Baterías de Vehículos </t>
  </si>
  <si>
    <t xml:space="preserve">COMERCIALES Textiles Textiles y piel </t>
  </si>
  <si>
    <t xml:space="preserve">COMERCIALES Textiles sanitarios Textiles y celulósicos sanitarios </t>
  </si>
  <si>
    <t xml:space="preserve">COMERCIALES Tierras y RCDs Tierras y Escombros </t>
  </si>
  <si>
    <t xml:space="preserve">COMERCIALES Tierras y RCDs Restos de obras menores </t>
  </si>
  <si>
    <t xml:space="preserve">COMERCIALES Otros Inclasificables mayores de 50 mm </t>
  </si>
  <si>
    <t xml:space="preserve">COMERCIALES Otros Finos &lt; 50 mm (si &gt; 2kg*, se hará una analitica en laboratorio) </t>
  </si>
  <si>
    <t xml:space="preserve">COMERCIALES Otros Cantidad de Producto en Envases (Sólido) </t>
  </si>
  <si>
    <t xml:space="preserve">COMERCIALES Otros Cantidad de Producto en Envases (líquido-no aceite) </t>
  </si>
  <si>
    <t xml:space="preserve">COMERCIALES Otros Caucho </t>
  </si>
  <si>
    <t xml:space="preserve">COMERCIALES Otros Otros otros  (cuerdas multimaterial…) </t>
  </si>
  <si>
    <t>INDUSTRIALES / AGRICOLAS Papel – cartón  Papel y Cartón envase (Con Pto. Verde)</t>
  </si>
  <si>
    <t>INDUSTRIALES / AGRICOLAS Papel – cartón  Papel y Cartón envase (Sin Pto. Verde)</t>
  </si>
  <si>
    <t>INDUSTRIALES / AGRICOLAS Papel – cartón  Papel/Cartón No Envase</t>
  </si>
  <si>
    <t>INDUSTRIALES / AGRICOLAS Brik  Envase</t>
  </si>
  <si>
    <t>INDUSTRIALES / AGRICOLAS Vidrio   Envase</t>
  </si>
  <si>
    <t>INDUSTRIALES / AGRICOLAS Vidrio   No envase</t>
  </si>
  <si>
    <t>INDUSTRIALES / AGRICOLAS Metales férricos Acero Envase</t>
  </si>
  <si>
    <t>INDUSTRIALES / AGRICOLAS Metales férricos Acero No envase</t>
  </si>
  <si>
    <t>INDUSTRIALES / AGRICOLAS Metales no férricos Aluminio Envase</t>
  </si>
  <si>
    <t>INDUSTRIALES / AGRICOLAS Metales no férricos Aluminio No envase</t>
  </si>
  <si>
    <t>INDUSTRIALES / AGRICOLAS Madera  Envase</t>
  </si>
  <si>
    <t>INDUSTRIALES / AGRICOLAS Madera  No envase</t>
  </si>
  <si>
    <t>INDUSTRIALES / AGRICOLAS Plásticos (excepto SUP*) PET  Envase</t>
  </si>
  <si>
    <t>INDUSTRIALES / AGRICOLAS Plásticos (excepto SUP*) PET  No envase</t>
  </si>
  <si>
    <t>INDUSTRIALES / AGRICOLAS Plásticos (excepto SUP*) PEAD Envase</t>
  </si>
  <si>
    <t>INDUSTRIALES / AGRICOLAS Plásticos (excepto SUP*) PEAD No envase</t>
  </si>
  <si>
    <t>INDUSTRIALES / AGRICOLAS Plásticos (excepto SUP*) PEBD Envase</t>
  </si>
  <si>
    <t>INDUSTRIALES / AGRICOLAS Plásticos (excepto SUP*) PEBD No envase</t>
  </si>
  <si>
    <t>INDUSTRIALES / AGRICOLAS Plásticos (excepto SUP*) PVC Envase</t>
  </si>
  <si>
    <t>INDUSTRIALES / AGRICOLAS Plásticos (excepto SUP*) PVC No envase</t>
  </si>
  <si>
    <t>INDUSTRIALES / AGRICOLAS Plásticos (excepto SUP*) PP Envase</t>
  </si>
  <si>
    <t>INDUSTRIALES / AGRICOLAS Plásticos (excepto SUP*) PP No envase</t>
  </si>
  <si>
    <t>INDUSTRIALES / AGRICOLAS Plásticos (excepto SUP*) PS (excepto EPS) Envase</t>
  </si>
  <si>
    <t>INDUSTRIALES / AGRICOLAS Plásticos (excepto SUP*) PS (excepto EPS) No envase</t>
  </si>
  <si>
    <t>INDUSTRIALES / AGRICOLAS Plásticos (excepto SUP*) EPS Envase</t>
  </si>
  <si>
    <t>INDUSTRIALES / AGRICOLAS Plásticos (excepto SUP*) EPS No envase</t>
  </si>
  <si>
    <t>INDUSTRIALES / AGRICOLAS Plásticos (excepto SUP*) Otros Plásticos Envase</t>
  </si>
  <si>
    <t>INDUSTRIALES / AGRICOLAS Plásticos (excepto SUP*) Otros Plásticos No envase</t>
  </si>
  <si>
    <t xml:space="preserve">INDUSTRIALES / AGRICOLAS * Plásticos de un solo uso (SUP) [iii] Botellas para bebidas de hasta tres litros de capacidad, incluidos sus tapas y tapones </t>
  </si>
  <si>
    <t xml:space="preserve">INDUSTRIALES / AGRICOLAS * Plásticos de un solo uso (SUP) [iii] Productos de tabaco con filtro y fitros comercializados para utilizarse en combinación con productos del tabaco </t>
  </si>
  <si>
    <t xml:space="preserve">INDUSTRIALES / AGRICOLAS * Plásticos de un solo uso (SUP) [iii] Recipientes para alimentos </t>
  </si>
  <si>
    <t xml:space="preserve">INDUSTRIALES / AGRICOLAS * Plásticos de un solo uso (SUP) [iii] Vasos para bebidas (incluidas sus tapas y tapones) </t>
  </si>
  <si>
    <t xml:space="preserve">INDUSTRIALES / AGRICOLAS * Plásticos de un solo uso (SUP) [iii] Otros </t>
  </si>
  <si>
    <t xml:space="preserve">INDUSTRIALES / AGRICOLAS Biorresiduos Restos de alimentos no cocinados y restos derivados de la preparación de alimentos </t>
  </si>
  <si>
    <t xml:space="preserve">INDUSTRIALES / AGRICOLAS Biorresiduos Restos de alimentos cocinados </t>
  </si>
  <si>
    <t xml:space="preserve">INDUSTRIALES / AGRICOLAS Biorresiduos Celulosas: Papel de cocina, servilletas </t>
  </si>
  <si>
    <t xml:space="preserve">INDUSTRIALES / AGRICOLAS Biorresiduos Otros restos de cocina compostables: bolsas, corchos, palillos de madera y otros resto compostables (vasos de papel, etc.) </t>
  </si>
  <si>
    <t xml:space="preserve">INDUSTRIALES / AGRICOLAS Biorresiduos Derroche alimentario: alimentos caducados y en mal estado (a granel o en envases abiertos, el envase se separará en su fracción) </t>
  </si>
  <si>
    <t xml:space="preserve">INDUSTRIALES / AGRICOLAS Biorresiduos Restos vegetales (césped, hojas, flores, etc.) </t>
  </si>
  <si>
    <t xml:space="preserve">INDUSTRIALES / AGRICOLAS Biorresiduos Restos de poda (ramas, arbustos, etc.) </t>
  </si>
  <si>
    <t xml:space="preserve">INDUSTRIALES / AGRICOLAS ACEITE Aceite de cocina usados (contenidos en envases) </t>
  </si>
  <si>
    <t xml:space="preserve">INDUSTRIALES / AGRICOLAS RAEE [iv] RAEE  </t>
  </si>
  <si>
    <t xml:space="preserve">INDUSTRIALES / AGRICOLAS Baterias Pilas y Acumuladores </t>
  </si>
  <si>
    <t xml:space="preserve">INDUSTRIALES / AGRICOLAS Baterias Baterías de Vehículos </t>
  </si>
  <si>
    <t xml:space="preserve">INDUSTRIALES / AGRICOLAS Textiles Textiles y piel </t>
  </si>
  <si>
    <t xml:space="preserve">INDUSTRIALES / AGRICOLAS Textiles sanitarios Textiles y celulósicos sanitarios </t>
  </si>
  <si>
    <t xml:space="preserve">INDUSTRIALES / AGRICOLAS Tierras y RCDs Tierras y Escombros </t>
  </si>
  <si>
    <t xml:space="preserve">INDUSTRIALES / AGRICOLAS Tierras y RCDs Restos de obras menores </t>
  </si>
  <si>
    <t xml:space="preserve">INDUSTRIALES / AGRICOLAS Otros Inclasificables mayores de 50 mm </t>
  </si>
  <si>
    <t xml:space="preserve">INDUSTRIALES / AGRICOLAS Otros Finos &lt; 50 mm (si &gt; 2kg*, se hará una analitica en laboratorio) </t>
  </si>
  <si>
    <t xml:space="preserve">INDUSTRIALES / AGRICOLAS Otros Cantidad de Producto en Envases (Sólido) </t>
  </si>
  <si>
    <t xml:space="preserve">INDUSTRIALES / AGRICOLAS Otros Cantidad de Producto en Envases (líquido-no aceite) </t>
  </si>
  <si>
    <t xml:space="preserve">INDUSTRIALES / AGRICOLAS Otros Caucho </t>
  </si>
  <si>
    <t xml:space="preserve">INDUSTRIALES / AGRICOLAS Otros Otros otros  (cuerdas multimaterial…) </t>
  </si>
  <si>
    <t>Total</t>
  </si>
  <si>
    <t>Total Papel – cartón</t>
  </si>
  <si>
    <t>% Papel – cartón</t>
  </si>
  <si>
    <t>Total Brik</t>
  </si>
  <si>
    <t>% Brik</t>
  </si>
  <si>
    <t xml:space="preserve">Total Vidrio </t>
  </si>
  <si>
    <t xml:space="preserve">% Vidrio </t>
  </si>
  <si>
    <t>Total Metales férricos</t>
  </si>
  <si>
    <t>% Metales férricos</t>
  </si>
  <si>
    <t>Total Metales no férricos</t>
  </si>
  <si>
    <t>% Metales no férricos</t>
  </si>
  <si>
    <t>Total Madera</t>
  </si>
  <si>
    <t>% Madera</t>
  </si>
  <si>
    <t>Total Plásticos (excepto SUP*)</t>
  </si>
  <si>
    <t>% Plásticos (excepto SUP*)</t>
  </si>
  <si>
    <t>Total Biorresiduos</t>
  </si>
  <si>
    <t>% Biorresiduos</t>
  </si>
  <si>
    <t>Total ACEITE</t>
  </si>
  <si>
    <t>% ACEITE</t>
  </si>
  <si>
    <t>Total RAEE [iv]</t>
  </si>
  <si>
    <t>% RAEE [iv]</t>
  </si>
  <si>
    <t>Total Baterias</t>
  </si>
  <si>
    <t>% Baterias</t>
  </si>
  <si>
    <t>Total Textiles</t>
  </si>
  <si>
    <t>% Textiles</t>
  </si>
  <si>
    <t>Total Textiles sanitarios</t>
  </si>
  <si>
    <t>% Textiles sanitarios</t>
  </si>
  <si>
    <t>Total Tierras y RCDs</t>
  </si>
  <si>
    <t>% Tierras y RCDs</t>
  </si>
  <si>
    <t>Total Otros</t>
  </si>
  <si>
    <t>% Otros</t>
  </si>
  <si>
    <t>PTR Tafalla</t>
  </si>
  <si>
    <t>PTR Sangúesa</t>
  </si>
  <si>
    <t>PTR Santesteban</t>
  </si>
  <si>
    <t>Cárcar</t>
  </si>
  <si>
    <t>Culebrete</t>
  </si>
  <si>
    <t>Muelle Peralta</t>
  </si>
  <si>
    <t>Muelle de Arbizu</t>
  </si>
  <si>
    <t>Planta de compostaje de Arbizu</t>
  </si>
  <si>
    <t>Planta de compostaje de Josenea</t>
  </si>
  <si>
    <t>Alto Araxes</t>
  </si>
  <si>
    <t>Ayuntamiento de Baztán</t>
  </si>
  <si>
    <t>Bortziriak</t>
  </si>
  <si>
    <t>Bidausi</t>
  </si>
  <si>
    <t>Montejurra</t>
  </si>
  <si>
    <t>Valdizarbe</t>
  </si>
  <si>
    <t>Mairaga</t>
  </si>
  <si>
    <t>Malerreka</t>
  </si>
  <si>
    <t>Mendialdea</t>
  </si>
  <si>
    <t>Sakana</t>
  </si>
  <si>
    <t>Ribera Alta</t>
  </si>
  <si>
    <t>Ribera</t>
  </si>
  <si>
    <t xml:space="preserve">Comarca de Sanguesa </t>
  </si>
  <si>
    <t>Irati</t>
  </si>
  <si>
    <t>Esca Salazar</t>
  </si>
  <si>
    <t>Fracciones</t>
  </si>
  <si>
    <t>Húmedo-Seco</t>
  </si>
  <si>
    <t>Contenedor</t>
  </si>
  <si>
    <t>Puerta a puerta</t>
  </si>
  <si>
    <t>Solicitado/impropio</t>
  </si>
  <si>
    <t>Detalle residuo</t>
  </si>
  <si>
    <t>CARACTERIZACIONES S.L.</t>
  </si>
  <si>
    <t>5896 HYT</t>
  </si>
  <si>
    <t>NO</t>
  </si>
  <si>
    <t>Total * Plásticos de un solo uso (SUP)</t>
  </si>
  <si>
    <t>% * Plásticos de un solo uso (SUP)</t>
  </si>
  <si>
    <t>y asi…</t>
  </si>
  <si>
    <t>El CRN ha modificado su ficha habitual para poder combinar la informacion de esta con la solictada por el Gobierno de Navarra</t>
  </si>
  <si>
    <t>El Gobierno de Navarra solicita, como requisito para la subvencion de las caracterizaciones dentro del Fondo de Residuos, que los resultados de las caracterizaciones tengan minimo la informacion de la tabla del anexo (enlace)</t>
  </si>
  <si>
    <t>Para facilitar el trabajo de campo el equipo de caracterizadores pueden llevar tres fichas en papel (por cada tipo de origen y filtrar estos a la hora de volcar la informacion en la ficha de caracterizacion A3.1</t>
  </si>
  <si>
    <t>Desde el Consorcio de residuos hemos referenciado las celdas de la Ficha GN A3.2 a la Ficha de caracterizacion A3.1 para facilitar el trabajo y evitar errores humanos a la hora de rellenar la informacion</t>
  </si>
  <si>
    <t>Desde el Consorcio de residuos hemos programado la ficha  de caracterizacion A3.1 para facilitar la elaboracion de informes, asignar propios e impropios según la fraccion recogida y la recopilacion de la informacion de cada ficha en una Tabla recopilatoria A3.3</t>
  </si>
  <si>
    <t>Notas Aclaratorias</t>
  </si>
  <si>
    <t>En el caso de que la empresa adjudicataria quiera introducir modificaciones en estas tablas deberá contar con la aprobacion del CRN y asegurar que la programacion/automatizacion funciona de forma correcta.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</si>
</sst>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 h:mm;@"/>
  </numFmts>
  <fonts count="18" x14ac:knownFonts="1">
    <font>
      <sz val="11"/>
      <color theme="1"/>
      <name val="Calibri"/>
      <family val="2"/>
      <scheme val="minor"/>
    </font>
    <font>
      <b/>
      <sz val="7"/>
      <color theme="0"/>
      <name val="Cambria"/>
      <family val="1"/>
    </font>
    <font>
      <b/>
      <sz val="7"/>
      <name val="Cambria"/>
      <family val="1"/>
    </font>
    <font>
      <b/>
      <sz val="7"/>
      <color theme="3"/>
      <name val="Cambria"/>
      <family val="1"/>
    </font>
    <font>
      <b/>
      <sz val="7"/>
      <color theme="1"/>
      <name val="Cambria"/>
      <family val="1"/>
    </font>
    <font>
      <sz val="7"/>
      <name val="Cambria"/>
      <family val="1"/>
    </font>
    <font>
      <b/>
      <sz val="7"/>
      <color rgb="FFFF0000"/>
      <name val="Cambria"/>
      <family val="1"/>
    </font>
    <font>
      <sz val="7"/>
      <color theme="3"/>
      <name val="Cambria"/>
      <family val="1"/>
    </font>
    <font>
      <u/>
      <sz val="10"/>
      <color theme="10"/>
      <name val="Arial"/>
      <family val="2"/>
    </font>
    <font>
      <vertAlign val="superscript"/>
      <sz val="10"/>
      <color theme="3"/>
      <name val="Calibri"/>
      <family val="2"/>
      <scheme val="minor"/>
    </font>
    <font>
      <sz val="10"/>
      <color theme="3"/>
      <name val="Calibri"/>
      <family val="2"/>
      <scheme val="minor"/>
    </font>
    <font>
      <u/>
      <sz val="10"/>
      <color theme="3"/>
      <name val="Calibri"/>
      <family val="2"/>
      <scheme val="minor"/>
    </font>
    <font>
      <sz val="10"/>
      <color theme="1"/>
      <name val="Calibri"/>
      <family val="2"/>
      <scheme val="minor"/>
    </font>
    <font>
      <sz val="10"/>
      <name val="Calibri"/>
      <family val="2"/>
      <scheme val="minor"/>
    </font>
    <font>
      <sz val="11"/>
      <color theme="1"/>
      <name val="Calibri"/>
      <family val="2"/>
      <scheme val="minor"/>
    </font>
    <font>
      <b/>
      <sz val="10"/>
      <color theme="1"/>
      <name val="Calibri"/>
      <family val="2"/>
      <scheme val="minor"/>
    </font>
    <font>
      <b/>
      <sz val="11"/>
      <color theme="1"/>
      <name val="Calibri"/>
      <family val="2"/>
      <scheme val="minor"/>
    </font>
    <font>
      <b/>
      <sz val="10"/>
      <name val="Calibri"/>
      <family val="2"/>
      <scheme val="minor"/>
    </font>
  </fonts>
  <fills count="27">
    <fill>
      <patternFill patternType="none"/>
    </fill>
    <fill>
      <patternFill patternType="gray125"/>
    </fill>
    <fill>
      <patternFill patternType="solid">
        <fgColor rgb="FF1F3864"/>
        <bgColor indexed="64"/>
      </patternFill>
    </fill>
    <fill>
      <patternFill patternType="solid">
        <fgColor rgb="FFF7CAAC"/>
        <bgColor indexed="64"/>
      </patternFill>
    </fill>
    <fill>
      <patternFill patternType="solid">
        <fgColor rgb="FFD9D9D9"/>
        <bgColor indexed="64"/>
      </patternFill>
    </fill>
    <fill>
      <patternFill patternType="solid">
        <fgColor theme="0"/>
        <bgColor indexed="64"/>
      </patternFill>
    </fill>
    <fill>
      <patternFill patternType="solid">
        <fgColor rgb="FFFFFF00"/>
        <bgColor indexed="64"/>
      </patternFill>
    </fill>
    <fill>
      <patternFill patternType="solid">
        <fgColor theme="5"/>
        <bgColor indexed="64"/>
      </patternFill>
    </fill>
    <fill>
      <patternFill patternType="solid">
        <fgColor theme="9"/>
        <bgColor indexed="64"/>
      </patternFill>
    </fill>
    <fill>
      <patternFill patternType="solid">
        <fgColor theme="0" tint="-0.14999847407452621"/>
        <bgColor indexed="64"/>
      </patternFill>
    </fill>
    <fill>
      <patternFill patternType="solid">
        <fgColor theme="2"/>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rgb="FFEABE8E"/>
        <bgColor indexed="64"/>
      </patternFill>
    </fill>
    <fill>
      <patternFill patternType="solid">
        <fgColor rgb="FFCCCCFF"/>
        <bgColor indexed="64"/>
      </patternFill>
    </fill>
    <fill>
      <patternFill patternType="solid">
        <fgColor theme="0" tint="-0.34998626667073579"/>
        <bgColor indexed="64"/>
      </patternFill>
    </fill>
    <fill>
      <patternFill patternType="solid">
        <fgColor rgb="FFDDDDDD"/>
        <bgColor indexed="64"/>
      </patternFill>
    </fill>
    <fill>
      <patternFill patternType="solid">
        <fgColor rgb="FFFCD0F4"/>
        <bgColor indexed="64"/>
      </patternFill>
    </fill>
    <fill>
      <patternFill patternType="solid">
        <fgColor theme="0" tint="-0.499984740745262"/>
        <bgColor indexed="64"/>
      </patternFill>
    </fill>
    <fill>
      <patternFill patternType="solid">
        <fgColor theme="8" tint="0.59999389629810485"/>
        <bgColor indexed="64"/>
      </patternFill>
    </fill>
  </fills>
  <borders count="40">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medium">
        <color indexed="64"/>
      </bottom>
      <diagonal/>
    </border>
    <border>
      <left style="medium">
        <color indexed="64"/>
      </left>
      <right style="thin">
        <color indexed="64"/>
      </right>
      <top/>
      <bottom/>
      <diagonal/>
    </border>
    <border>
      <left style="medium">
        <color indexed="64"/>
      </left>
      <right/>
      <top/>
      <bottom/>
      <diagonal/>
    </border>
    <border>
      <left/>
      <right/>
      <top style="thin">
        <color indexed="64"/>
      </top>
      <bottom/>
      <diagonal/>
    </border>
    <border>
      <left style="thin">
        <color indexed="64"/>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8" fillId="0" borderId="0" applyNumberFormat="0" applyFill="0" applyBorder="0" applyAlignment="0" applyProtection="0"/>
    <xf numFmtId="9" fontId="14" fillId="0" borderId="0" applyFont="0" applyFill="0" applyBorder="0" applyAlignment="0" applyProtection="0"/>
  </cellStyleXfs>
  <cellXfs count="237">
    <xf numFmtId="0" fontId="0" fillId="0" borderId="0" xfId="0"/>
    <xf numFmtId="0" fontId="2" fillId="4" borderId="9" xfId="0" applyFont="1" applyFill="1" applyBorder="1" applyAlignment="1">
      <alignment horizontal="center" vertical="center" wrapText="1"/>
    </xf>
    <xf numFmtId="0" fontId="5" fillId="8" borderId="5" xfId="0" applyFont="1" applyFill="1" applyBorder="1" applyAlignment="1">
      <alignment vertical="center" wrapText="1"/>
    </xf>
    <xf numFmtId="0" fontId="5" fillId="4" borderId="24" xfId="0" applyFont="1" applyFill="1" applyBorder="1" applyAlignment="1">
      <alignment vertical="center" wrapText="1"/>
    </xf>
    <xf numFmtId="0" fontId="5" fillId="8" borderId="15" xfId="0" applyFont="1" applyFill="1" applyBorder="1" applyAlignment="1">
      <alignment vertical="center" wrapText="1"/>
    </xf>
    <xf numFmtId="0" fontId="5" fillId="8" borderId="21" xfId="0" applyFont="1" applyFill="1" applyBorder="1" applyAlignment="1">
      <alignment vertical="center" wrapText="1"/>
    </xf>
    <xf numFmtId="0" fontId="5" fillId="4" borderId="0" xfId="0" applyFont="1" applyFill="1" applyBorder="1" applyAlignment="1">
      <alignment vertical="center" wrapText="1"/>
    </xf>
    <xf numFmtId="0" fontId="5" fillId="9" borderId="13" xfId="0" applyFont="1" applyFill="1" applyBorder="1" applyAlignment="1" applyProtection="1">
      <alignment horizontal="left" vertical="center" wrapText="1"/>
      <protection locked="0"/>
    </xf>
    <xf numFmtId="0" fontId="2" fillId="4" borderId="2" xfId="0" applyFont="1" applyFill="1" applyBorder="1" applyAlignment="1">
      <alignment horizontal="center" vertical="center" wrapText="1"/>
    </xf>
    <xf numFmtId="0" fontId="2" fillId="9" borderId="17" xfId="0" applyFont="1" applyFill="1" applyBorder="1" applyAlignment="1">
      <alignment horizontal="left" vertical="center"/>
    </xf>
    <xf numFmtId="0" fontId="8" fillId="0" borderId="0" xfId="1" applyAlignment="1">
      <alignment horizontal="justify" vertical="center"/>
    </xf>
    <xf numFmtId="0" fontId="9" fillId="0" borderId="0" xfId="0" applyFont="1"/>
    <xf numFmtId="0" fontId="10" fillId="0" borderId="0" xfId="0" applyFont="1"/>
    <xf numFmtId="0" fontId="11" fillId="0" borderId="0" xfId="1" applyFont="1"/>
    <xf numFmtId="0" fontId="5" fillId="8" borderId="28" xfId="0" applyFont="1" applyFill="1" applyBorder="1" applyAlignment="1">
      <alignment vertical="center" wrapText="1"/>
    </xf>
    <xf numFmtId="0" fontId="5" fillId="4" borderId="21" xfId="0" applyFont="1" applyFill="1" applyBorder="1" applyAlignment="1">
      <alignment vertical="center" wrapText="1"/>
    </xf>
    <xf numFmtId="0" fontId="5" fillId="8" borderId="31" xfId="0" applyFont="1" applyFill="1" applyBorder="1" applyAlignment="1">
      <alignment vertical="center" wrapText="1"/>
    </xf>
    <xf numFmtId="0" fontId="5" fillId="4" borderId="13" xfId="0" applyFont="1" applyFill="1" applyBorder="1" applyAlignment="1">
      <alignment vertical="center" wrapText="1"/>
    </xf>
    <xf numFmtId="0" fontId="5" fillId="8" borderId="13" xfId="0" applyFont="1" applyFill="1" applyBorder="1" applyAlignment="1">
      <alignment vertical="center" wrapText="1"/>
    </xf>
    <xf numFmtId="0" fontId="5" fillId="9" borderId="31" xfId="0" applyFont="1" applyFill="1" applyBorder="1" applyAlignment="1" applyProtection="1">
      <alignment horizontal="left" vertical="center" wrapText="1"/>
      <protection locked="0"/>
    </xf>
    <xf numFmtId="0" fontId="2" fillId="4" borderId="33" xfId="0" applyFont="1" applyFill="1" applyBorder="1" applyAlignment="1">
      <alignment horizontal="center" vertical="center" wrapText="1"/>
    </xf>
    <xf numFmtId="0" fontId="2" fillId="5" borderId="1" xfId="0" applyFont="1" applyFill="1" applyBorder="1" applyAlignment="1">
      <alignment horizontal="left" vertical="center" wrapText="1"/>
    </xf>
    <xf numFmtId="0" fontId="2" fillId="5" borderId="2" xfId="0" applyFont="1" applyFill="1" applyBorder="1" applyAlignment="1">
      <alignment horizontal="center" vertical="center" wrapText="1"/>
    </xf>
    <xf numFmtId="0" fontId="2" fillId="4" borderId="14" xfId="0" applyFont="1" applyFill="1" applyBorder="1" applyAlignment="1">
      <alignment horizontal="left" vertical="center" wrapText="1"/>
    </xf>
    <xf numFmtId="0" fontId="2" fillId="9" borderId="10" xfId="0" applyFont="1" applyFill="1" applyBorder="1" applyAlignment="1">
      <alignment horizontal="left" vertical="center"/>
    </xf>
    <xf numFmtId="0" fontId="2" fillId="9" borderId="12" xfId="0" applyFont="1" applyFill="1" applyBorder="1" applyAlignment="1">
      <alignment horizontal="left" vertical="center"/>
    </xf>
    <xf numFmtId="0" fontId="5" fillId="9" borderId="29" xfId="0" applyFont="1" applyFill="1" applyBorder="1" applyAlignment="1" applyProtection="1">
      <alignment horizontal="left" vertical="center" wrapText="1"/>
      <protection locked="0"/>
    </xf>
    <xf numFmtId="0" fontId="5" fillId="9" borderId="32" xfId="0" applyFont="1" applyFill="1" applyBorder="1" applyAlignment="1" applyProtection="1">
      <alignment horizontal="left" vertical="center" wrapText="1"/>
      <protection locked="0"/>
    </xf>
    <xf numFmtId="0" fontId="5" fillId="10" borderId="28" xfId="0" applyFont="1" applyFill="1" applyBorder="1" applyAlignment="1">
      <alignment vertical="center" wrapText="1"/>
    </xf>
    <xf numFmtId="0" fontId="5" fillId="10" borderId="21" xfId="0" applyFont="1" applyFill="1" applyBorder="1" applyAlignment="1">
      <alignment vertical="center" wrapText="1"/>
    </xf>
    <xf numFmtId="0" fontId="2" fillId="9" borderId="17" xfId="0" applyFont="1" applyFill="1" applyBorder="1" applyAlignment="1">
      <alignment horizontal="left" vertical="center"/>
    </xf>
    <xf numFmtId="0" fontId="5" fillId="10" borderId="13" xfId="0" applyFont="1" applyFill="1" applyBorder="1" applyAlignment="1">
      <alignment horizontal="left" vertical="center"/>
    </xf>
    <xf numFmtId="0" fontId="5" fillId="10" borderId="31" xfId="0" applyFont="1" applyFill="1" applyBorder="1" applyAlignment="1">
      <alignment horizontal="left" vertical="center"/>
    </xf>
    <xf numFmtId="0" fontId="12" fillId="5" borderId="0" xfId="0" applyFont="1" applyFill="1"/>
    <xf numFmtId="0" fontId="0" fillId="0" borderId="0" xfId="0" pivotButton="1"/>
    <xf numFmtId="0" fontId="0" fillId="0" borderId="0" xfId="0" applyAlignment="1">
      <alignment horizontal="left"/>
    </xf>
    <xf numFmtId="0" fontId="0" fillId="0" borderId="0" xfId="0" applyAlignment="1">
      <alignment horizontal="left" indent="1"/>
    </xf>
    <xf numFmtId="0" fontId="15" fillId="11" borderId="39" xfId="0" applyFont="1" applyFill="1" applyBorder="1"/>
    <xf numFmtId="0" fontId="15" fillId="5" borderId="0" xfId="0" applyFont="1" applyFill="1"/>
    <xf numFmtId="10" fontId="15" fillId="11" borderId="39" xfId="2" applyNumberFormat="1" applyFont="1" applyFill="1" applyBorder="1"/>
    <xf numFmtId="10" fontId="12" fillId="5" borderId="0" xfId="2" applyNumberFormat="1" applyFont="1" applyFill="1"/>
    <xf numFmtId="0" fontId="12" fillId="12" borderId="39" xfId="0" applyFont="1" applyFill="1" applyBorder="1"/>
    <xf numFmtId="0" fontId="12" fillId="13" borderId="39" xfId="0" applyFont="1" applyFill="1" applyBorder="1"/>
    <xf numFmtId="0" fontId="12" fillId="14" borderId="39" xfId="0" applyFont="1" applyFill="1" applyBorder="1"/>
    <xf numFmtId="0" fontId="12" fillId="15" borderId="39" xfId="0" applyFont="1" applyFill="1" applyBorder="1"/>
    <xf numFmtId="0" fontId="12" fillId="16" borderId="39" xfId="0" applyFont="1" applyFill="1" applyBorder="1"/>
    <xf numFmtId="0" fontId="13" fillId="12" borderId="39" xfId="0" applyFont="1" applyFill="1" applyBorder="1" applyAlignment="1">
      <alignment vertical="center" wrapText="1"/>
    </xf>
    <xf numFmtId="10" fontId="12" fillId="12" borderId="39" xfId="2" applyNumberFormat="1" applyFont="1" applyFill="1" applyBorder="1"/>
    <xf numFmtId="0" fontId="12" fillId="17" borderId="39" xfId="0" applyFont="1" applyFill="1" applyBorder="1"/>
    <xf numFmtId="0" fontId="13" fillId="17" borderId="39" xfId="0" applyFont="1" applyFill="1" applyBorder="1" applyAlignment="1">
      <alignment vertical="center" wrapText="1"/>
    </xf>
    <xf numFmtId="10" fontId="12" fillId="17" borderId="39" xfId="2" applyNumberFormat="1" applyFont="1" applyFill="1" applyBorder="1"/>
    <xf numFmtId="0" fontId="13" fillId="15" borderId="39" xfId="0" applyFont="1" applyFill="1" applyBorder="1" applyAlignment="1">
      <alignment vertical="center" wrapText="1"/>
    </xf>
    <xf numFmtId="10" fontId="12" fillId="15" borderId="39" xfId="2" applyNumberFormat="1" applyFont="1" applyFill="1" applyBorder="1"/>
    <xf numFmtId="0" fontId="12" fillId="18" borderId="39" xfId="0" applyFont="1" applyFill="1" applyBorder="1"/>
    <xf numFmtId="10" fontId="12" fillId="18" borderId="39" xfId="2" applyNumberFormat="1" applyFont="1" applyFill="1" applyBorder="1"/>
    <xf numFmtId="0" fontId="13" fillId="13" borderId="39" xfId="0" applyFont="1" applyFill="1" applyBorder="1" applyAlignment="1">
      <alignment vertical="center" wrapText="1"/>
    </xf>
    <xf numFmtId="10" fontId="12" fillId="13" borderId="39" xfId="2" applyNumberFormat="1" applyFont="1" applyFill="1" applyBorder="1"/>
    <xf numFmtId="0" fontId="12" fillId="19" borderId="39" xfId="0" applyFont="1" applyFill="1" applyBorder="1"/>
    <xf numFmtId="0" fontId="13" fillId="19" borderId="39" xfId="0" applyFont="1" applyFill="1" applyBorder="1" applyAlignment="1">
      <alignment vertical="center" wrapText="1"/>
    </xf>
    <xf numFmtId="10" fontId="12" fillId="19" borderId="39" xfId="2" applyNumberFormat="1" applyFont="1" applyFill="1" applyBorder="1"/>
    <xf numFmtId="0" fontId="0" fillId="17" borderId="39" xfId="0" applyFill="1" applyBorder="1"/>
    <xf numFmtId="0" fontId="13" fillId="17" borderId="39" xfId="0" applyFont="1" applyFill="1" applyBorder="1" applyAlignment="1" applyProtection="1">
      <alignment vertical="center" wrapText="1"/>
      <protection locked="0"/>
    </xf>
    <xf numFmtId="0" fontId="13" fillId="17" borderId="39" xfId="0" applyFont="1" applyFill="1" applyBorder="1" applyAlignment="1">
      <alignment horizontal="left" vertical="center"/>
    </xf>
    <xf numFmtId="0" fontId="13" fillId="17" borderId="39" xfId="0" applyFont="1" applyFill="1" applyBorder="1" applyAlignment="1">
      <alignment vertical="top" wrapText="1"/>
    </xf>
    <xf numFmtId="0" fontId="13" fillId="18" borderId="39" xfId="0" applyFont="1" applyFill="1" applyBorder="1" applyAlignment="1">
      <alignment vertical="top" wrapText="1"/>
    </xf>
    <xf numFmtId="0" fontId="13" fillId="18" borderId="39" xfId="0" applyFont="1" applyFill="1" applyBorder="1" applyAlignment="1">
      <alignment horizontal="left" vertical="center"/>
    </xf>
    <xf numFmtId="0" fontId="12" fillId="20" borderId="39" xfId="0" applyFont="1" applyFill="1" applyBorder="1"/>
    <xf numFmtId="0" fontId="13" fillId="20" borderId="39" xfId="0" applyFont="1" applyFill="1" applyBorder="1" applyAlignment="1">
      <alignment vertical="top" wrapText="1"/>
    </xf>
    <xf numFmtId="0" fontId="0" fillId="20" borderId="39" xfId="0" applyFill="1" applyBorder="1"/>
    <xf numFmtId="10" fontId="12" fillId="20" borderId="39" xfId="2" applyNumberFormat="1" applyFont="1" applyFill="1" applyBorder="1"/>
    <xf numFmtId="0" fontId="13" fillId="21" borderId="39" xfId="0" applyFont="1" applyFill="1" applyBorder="1" applyAlignment="1">
      <alignment horizontal="left" vertical="center"/>
    </xf>
    <xf numFmtId="0" fontId="13" fillId="21" borderId="39" xfId="0" applyFont="1" applyFill="1" applyBorder="1" applyAlignment="1" applyProtection="1">
      <alignment vertical="center" wrapText="1"/>
      <protection locked="0"/>
    </xf>
    <xf numFmtId="0" fontId="12" fillId="21" borderId="39" xfId="0" applyFont="1" applyFill="1" applyBorder="1"/>
    <xf numFmtId="10" fontId="12" fillId="21" borderId="39" xfId="2" applyNumberFormat="1" applyFont="1" applyFill="1" applyBorder="1"/>
    <xf numFmtId="0" fontId="13" fillId="21" borderId="39" xfId="0" applyFont="1" applyFill="1" applyBorder="1" applyAlignment="1">
      <alignment vertical="center"/>
    </xf>
    <xf numFmtId="0" fontId="13" fillId="22" borderId="39" xfId="0" applyFont="1" applyFill="1" applyBorder="1" applyAlignment="1">
      <alignment horizontal="left" vertical="center"/>
    </xf>
    <xf numFmtId="0" fontId="13" fillId="22" borderId="39" xfId="0" applyFont="1" applyFill="1" applyBorder="1" applyAlignment="1" applyProtection="1">
      <alignment vertical="center" wrapText="1"/>
      <protection locked="0"/>
    </xf>
    <xf numFmtId="0" fontId="12" fillId="22" borderId="39" xfId="0" applyFont="1" applyFill="1" applyBorder="1"/>
    <xf numFmtId="10" fontId="12" fillId="22" borderId="39" xfId="2" applyNumberFormat="1" applyFont="1" applyFill="1" applyBorder="1"/>
    <xf numFmtId="0" fontId="13" fillId="23" borderId="39" xfId="0" applyFont="1" applyFill="1" applyBorder="1" applyAlignment="1">
      <alignment vertical="center"/>
    </xf>
    <xf numFmtId="0" fontId="13" fillId="23" borderId="39" xfId="0" applyFont="1" applyFill="1" applyBorder="1" applyAlignment="1" applyProtection="1">
      <alignment horizontal="left" vertical="center" wrapText="1"/>
      <protection locked="0"/>
    </xf>
    <xf numFmtId="0" fontId="12" fillId="23" borderId="39" xfId="0" applyFont="1" applyFill="1" applyBorder="1"/>
    <xf numFmtId="10" fontId="12" fillId="23" borderId="39" xfId="2" applyNumberFormat="1" applyFont="1" applyFill="1" applyBorder="1"/>
    <xf numFmtId="0" fontId="13" fillId="23" borderId="39" xfId="0" applyFont="1" applyFill="1" applyBorder="1" applyAlignment="1" applyProtection="1">
      <alignment vertical="center" wrapText="1"/>
      <protection locked="0"/>
    </xf>
    <xf numFmtId="0" fontId="13" fillId="24" borderId="39" xfId="0" applyFont="1" applyFill="1" applyBorder="1" applyAlignment="1">
      <alignment horizontal="left" vertical="center"/>
    </xf>
    <xf numFmtId="0" fontId="13" fillId="24" borderId="39" xfId="0" applyFont="1" applyFill="1" applyBorder="1" applyAlignment="1" applyProtection="1">
      <alignment vertical="center" wrapText="1"/>
      <protection locked="0"/>
    </xf>
    <xf numFmtId="0" fontId="12" fillId="24" borderId="39" xfId="0" applyFont="1" applyFill="1" applyBorder="1"/>
    <xf numFmtId="10" fontId="12" fillId="24" borderId="39" xfId="2" applyNumberFormat="1" applyFont="1" applyFill="1" applyBorder="1"/>
    <xf numFmtId="0" fontId="13" fillId="6" borderId="39" xfId="0" applyFont="1" applyFill="1" applyBorder="1" applyAlignment="1">
      <alignment vertical="center" wrapText="1"/>
    </xf>
    <xf numFmtId="0" fontId="0" fillId="23" borderId="39" xfId="0" applyFill="1" applyBorder="1"/>
    <xf numFmtId="0" fontId="0" fillId="10" borderId="39" xfId="0" applyFill="1" applyBorder="1"/>
    <xf numFmtId="0" fontId="13" fillId="23" borderId="39" xfId="0" applyFont="1" applyFill="1" applyBorder="1" applyAlignment="1">
      <alignment vertical="center" wrapText="1"/>
    </xf>
    <xf numFmtId="0" fontId="13" fillId="25" borderId="39" xfId="0" applyFont="1" applyFill="1" applyBorder="1" applyAlignment="1">
      <alignment vertical="top" wrapText="1"/>
    </xf>
    <xf numFmtId="0" fontId="15" fillId="11" borderId="39" xfId="0" applyFont="1" applyFill="1" applyBorder="1" applyAlignment="1">
      <alignment horizontal="center" vertical="center" wrapText="1"/>
    </xf>
    <xf numFmtId="0" fontId="15" fillId="11" borderId="24" xfId="0" applyFont="1" applyFill="1" applyBorder="1" applyAlignment="1">
      <alignment horizontal="center" vertical="center" wrapText="1"/>
    </xf>
    <xf numFmtId="0" fontId="0" fillId="0" borderId="0" xfId="0" applyAlignment="1">
      <alignment horizontal="center" vertical="center" wrapText="1"/>
    </xf>
    <xf numFmtId="0" fontId="12" fillId="5" borderId="0" xfId="0" applyNumberFormat="1" applyFont="1" applyFill="1"/>
    <xf numFmtId="0" fontId="15" fillId="11" borderId="39" xfId="0" applyNumberFormat="1" applyFont="1" applyFill="1" applyBorder="1"/>
    <xf numFmtId="0" fontId="13" fillId="12" borderId="39" xfId="0" applyNumberFormat="1" applyFont="1" applyFill="1" applyBorder="1" applyAlignment="1">
      <alignment vertical="center" wrapText="1"/>
    </xf>
    <xf numFmtId="0" fontId="13" fillId="17" borderId="39" xfId="0" applyNumberFormat="1" applyFont="1" applyFill="1" applyBorder="1" applyAlignment="1">
      <alignment vertical="center" wrapText="1"/>
    </xf>
    <xf numFmtId="0" fontId="13" fillId="15" borderId="39" xfId="0" applyNumberFormat="1" applyFont="1" applyFill="1" applyBorder="1" applyAlignment="1">
      <alignment vertical="center" wrapText="1"/>
    </xf>
    <xf numFmtId="0" fontId="13" fillId="13" borderId="39" xfId="0" applyNumberFormat="1" applyFont="1" applyFill="1" applyBorder="1" applyAlignment="1">
      <alignment vertical="center" wrapText="1"/>
    </xf>
    <xf numFmtId="0" fontId="13" fillId="19" borderId="39" xfId="0" applyNumberFormat="1" applyFont="1" applyFill="1" applyBorder="1" applyAlignment="1">
      <alignment vertical="center" wrapText="1"/>
    </xf>
    <xf numFmtId="0" fontId="13" fillId="17" borderId="39" xfId="0" applyNumberFormat="1" applyFont="1" applyFill="1" applyBorder="1" applyAlignment="1" applyProtection="1">
      <alignment vertical="center" wrapText="1"/>
      <protection locked="0"/>
    </xf>
    <xf numFmtId="0" fontId="13" fillId="17" borderId="39" xfId="0" applyNumberFormat="1" applyFont="1" applyFill="1" applyBorder="1" applyAlignment="1">
      <alignment horizontal="left" vertical="center"/>
    </xf>
    <xf numFmtId="0" fontId="13" fillId="17" borderId="39" xfId="0" applyNumberFormat="1" applyFont="1" applyFill="1" applyBorder="1" applyAlignment="1">
      <alignment vertical="top" wrapText="1"/>
    </xf>
    <xf numFmtId="0" fontId="13" fillId="20" borderId="39" xfId="0" applyNumberFormat="1" applyFont="1" applyFill="1" applyBorder="1" applyAlignment="1">
      <alignment vertical="top" wrapText="1"/>
    </xf>
    <xf numFmtId="0" fontId="13" fillId="18" borderId="39" xfId="0" applyNumberFormat="1" applyFont="1" applyFill="1" applyBorder="1" applyAlignment="1">
      <alignment vertical="top" wrapText="1"/>
    </xf>
    <xf numFmtId="0" fontId="13" fillId="21" borderId="39" xfId="0" applyNumberFormat="1" applyFont="1" applyFill="1" applyBorder="1" applyAlignment="1" applyProtection="1">
      <alignment vertical="center" wrapText="1"/>
      <protection locked="0"/>
    </xf>
    <xf numFmtId="0" fontId="13" fillId="24" borderId="39" xfId="0" applyNumberFormat="1" applyFont="1" applyFill="1" applyBorder="1" applyAlignment="1" applyProtection="1">
      <alignment vertical="center" wrapText="1"/>
      <protection locked="0"/>
    </xf>
    <xf numFmtId="0" fontId="13" fillId="22" borderId="39" xfId="0" applyNumberFormat="1" applyFont="1" applyFill="1" applyBorder="1" applyAlignment="1" applyProtection="1">
      <alignment vertical="center" wrapText="1"/>
      <protection locked="0"/>
    </xf>
    <xf numFmtId="0" fontId="13" fillId="23" borderId="39" xfId="0" applyNumberFormat="1" applyFont="1" applyFill="1" applyBorder="1" applyAlignment="1" applyProtection="1">
      <alignment horizontal="left" vertical="center" wrapText="1"/>
      <protection locked="0"/>
    </xf>
    <xf numFmtId="0" fontId="13" fillId="23" borderId="39" xfId="0" applyNumberFormat="1" applyFont="1" applyFill="1" applyBorder="1" applyAlignment="1" applyProtection="1">
      <alignment vertical="center" wrapText="1"/>
      <protection locked="0"/>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2" fontId="2" fillId="4" borderId="33" xfId="0" applyNumberFormat="1" applyFont="1" applyFill="1" applyBorder="1" applyAlignment="1">
      <alignment horizontal="center" vertical="center" wrapText="1"/>
    </xf>
    <xf numFmtId="2" fontId="2" fillId="0" borderId="10" xfId="0" applyNumberFormat="1" applyFont="1" applyBorder="1" applyAlignment="1">
      <alignment horizontal="left" vertical="center" wrapText="1"/>
    </xf>
    <xf numFmtId="2" fontId="0" fillId="0" borderId="0" xfId="0" applyNumberFormat="1"/>
    <xf numFmtId="2" fontId="10" fillId="0" borderId="0" xfId="0" applyNumberFormat="1" applyFont="1"/>
    <xf numFmtId="0" fontId="2" fillId="5" borderId="1" xfId="0" applyNumberFormat="1" applyFont="1" applyFill="1" applyBorder="1" applyAlignment="1">
      <alignment horizontal="left" vertical="center" wrapText="1"/>
    </xf>
    <xf numFmtId="0" fontId="2" fillId="5" borderId="2" xfId="0" applyNumberFormat="1" applyFont="1" applyFill="1" applyBorder="1" applyAlignment="1">
      <alignment horizontal="left" vertical="center" wrapText="1"/>
    </xf>
    <xf numFmtId="10" fontId="2" fillId="0" borderId="34" xfId="2" applyNumberFormat="1" applyFont="1" applyBorder="1" applyAlignment="1">
      <alignment horizontal="left" vertical="center" wrapText="1"/>
    </xf>
    <xf numFmtId="4" fontId="2" fillId="11" borderId="10" xfId="0" applyNumberFormat="1" applyFont="1" applyFill="1" applyBorder="1" applyAlignment="1">
      <alignment horizontal="left" vertical="center" wrapText="1"/>
    </xf>
    <xf numFmtId="9" fontId="2" fillId="11" borderId="10" xfId="2" applyFont="1" applyFill="1" applyBorder="1" applyAlignment="1">
      <alignment horizontal="left" vertical="center" wrapText="1"/>
    </xf>
    <xf numFmtId="9" fontId="0" fillId="0" borderId="0" xfId="0" applyNumberFormat="1"/>
    <xf numFmtId="0" fontId="0" fillId="0" borderId="0" xfId="0" applyAlignment="1">
      <alignment wrapText="1"/>
    </xf>
    <xf numFmtId="0" fontId="0" fillId="11" borderId="0" xfId="0" applyFill="1" applyAlignment="1">
      <alignment wrapText="1"/>
    </xf>
    <xf numFmtId="0" fontId="15" fillId="14" borderId="39" xfId="0" applyFont="1" applyFill="1" applyBorder="1" applyAlignment="1">
      <alignment horizontal="center" vertical="center" wrapText="1"/>
    </xf>
    <xf numFmtId="0" fontId="16" fillId="0" borderId="0" xfId="0" applyFont="1" applyAlignment="1">
      <alignment horizontal="center"/>
    </xf>
    <xf numFmtId="0" fontId="12" fillId="10" borderId="39" xfId="0" applyFont="1" applyFill="1" applyBorder="1"/>
    <xf numFmtId="9" fontId="0" fillId="0" borderId="0" xfId="2" applyFont="1" applyAlignment="1">
      <alignment wrapText="1"/>
    </xf>
    <xf numFmtId="0" fontId="15" fillId="6" borderId="39" xfId="0" applyNumberFormat="1" applyFont="1" applyFill="1" applyBorder="1" applyAlignment="1">
      <alignment wrapText="1"/>
    </xf>
    <xf numFmtId="0" fontId="0" fillId="6" borderId="0" xfId="0" applyFill="1" applyAlignment="1">
      <alignment wrapText="1"/>
    </xf>
    <xf numFmtId="2" fontId="0" fillId="6" borderId="0" xfId="0" applyNumberFormat="1" applyFill="1" applyAlignment="1">
      <alignment wrapText="1"/>
    </xf>
    <xf numFmtId="49" fontId="0" fillId="6" borderId="0" xfId="0" applyNumberFormat="1" applyFill="1" applyAlignment="1">
      <alignment wrapText="1"/>
    </xf>
    <xf numFmtId="9" fontId="0" fillId="6" borderId="0" xfId="2" applyFont="1" applyFill="1" applyAlignment="1">
      <alignment wrapText="1"/>
    </xf>
    <xf numFmtId="0" fontId="8" fillId="11" borderId="39" xfId="1" applyFill="1" applyBorder="1" applyAlignment="1">
      <alignment horizontal="left"/>
    </xf>
    <xf numFmtId="0" fontId="12" fillId="5" borderId="39" xfId="0" applyFont="1" applyFill="1" applyBorder="1" applyAlignment="1">
      <alignment horizontal="left"/>
    </xf>
    <xf numFmtId="2" fontId="12" fillId="5" borderId="39" xfId="0" applyNumberFormat="1" applyFont="1" applyFill="1" applyBorder="1" applyAlignment="1">
      <alignment horizontal="left"/>
    </xf>
    <xf numFmtId="0" fontId="0" fillId="0" borderId="39" xfId="0" applyBorder="1" applyAlignment="1">
      <alignment horizontal="left"/>
    </xf>
    <xf numFmtId="49" fontId="0" fillId="0" borderId="39" xfId="0" applyNumberFormat="1" applyBorder="1" applyAlignment="1">
      <alignment horizontal="left"/>
    </xf>
    <xf numFmtId="164" fontId="0" fillId="0" borderId="39" xfId="0" applyNumberFormat="1" applyBorder="1" applyAlignment="1">
      <alignment horizontal="left"/>
    </xf>
    <xf numFmtId="0" fontId="15" fillId="11" borderId="39" xfId="0" applyFont="1" applyFill="1" applyBorder="1" applyAlignment="1">
      <alignment horizontal="left"/>
    </xf>
    <xf numFmtId="0" fontId="12" fillId="12" borderId="39" xfId="0" applyFont="1" applyFill="1" applyBorder="1" applyAlignment="1">
      <alignment horizontal="left"/>
    </xf>
    <xf numFmtId="0" fontId="12" fillId="17" borderId="39" xfId="0" applyFont="1" applyFill="1" applyBorder="1" applyAlignment="1">
      <alignment horizontal="left"/>
    </xf>
    <xf numFmtId="0" fontId="12" fillId="15" borderId="39" xfId="0" applyFont="1" applyFill="1" applyBorder="1" applyAlignment="1">
      <alignment horizontal="left"/>
    </xf>
    <xf numFmtId="0" fontId="12" fillId="13" borderId="39" xfId="0" applyFont="1" applyFill="1" applyBorder="1" applyAlignment="1">
      <alignment horizontal="left"/>
    </xf>
    <xf numFmtId="0" fontId="12" fillId="19" borderId="39" xfId="0" applyFont="1" applyFill="1" applyBorder="1" applyAlignment="1">
      <alignment horizontal="left"/>
    </xf>
    <xf numFmtId="0" fontId="12" fillId="20" borderId="39" xfId="0" applyFont="1" applyFill="1" applyBorder="1" applyAlignment="1">
      <alignment horizontal="left"/>
    </xf>
    <xf numFmtId="0" fontId="13" fillId="23" borderId="39" xfId="0" applyFont="1" applyFill="1" applyBorder="1" applyAlignment="1">
      <alignment horizontal="left" vertical="center"/>
    </xf>
    <xf numFmtId="0" fontId="0" fillId="0" borderId="0" xfId="0" applyNumberFormat="1" applyAlignment="1">
      <alignment horizontal="left"/>
    </xf>
    <xf numFmtId="0" fontId="12" fillId="5" borderId="0" xfId="0" applyFont="1" applyFill="1" applyAlignment="1">
      <alignment horizontal="left"/>
    </xf>
    <xf numFmtId="0" fontId="2" fillId="8" borderId="17" xfId="0" applyFont="1" applyFill="1" applyBorder="1" applyAlignment="1">
      <alignment horizontal="left" vertical="center" wrapText="1"/>
    </xf>
    <xf numFmtId="0" fontId="2" fillId="8" borderId="19" xfId="0" applyFont="1" applyFill="1" applyBorder="1" applyAlignment="1">
      <alignment horizontal="left" vertical="center" wrapText="1"/>
    </xf>
    <xf numFmtId="0" fontId="5" fillId="8" borderId="18" xfId="0" applyFont="1" applyFill="1" applyBorder="1" applyAlignment="1" applyProtection="1">
      <alignment horizontal="left" vertical="center" wrapText="1"/>
      <protection locked="0"/>
    </xf>
    <xf numFmtId="0" fontId="5" fillId="8" borderId="20" xfId="0" applyFont="1" applyFill="1" applyBorder="1" applyAlignment="1" applyProtection="1">
      <alignment horizontal="left" vertical="center" wrapText="1"/>
      <protection locked="0"/>
    </xf>
    <xf numFmtId="0" fontId="2" fillId="8" borderId="27" xfId="0" applyFont="1" applyFill="1" applyBorder="1" applyAlignment="1" applyProtection="1">
      <alignment horizontal="left" vertical="center" wrapText="1"/>
      <protection locked="0"/>
    </xf>
    <xf numFmtId="0" fontId="2" fillId="8" borderId="23" xfId="0" applyFont="1" applyFill="1" applyBorder="1" applyAlignment="1" applyProtection="1">
      <alignment horizontal="left" vertical="center" wrapText="1"/>
      <protection locked="0"/>
    </xf>
    <xf numFmtId="0" fontId="2" fillId="8" borderId="7" xfId="0" applyFont="1" applyFill="1" applyBorder="1" applyAlignment="1" applyProtection="1">
      <alignment horizontal="left" vertical="center" wrapText="1"/>
      <protection locked="0"/>
    </xf>
    <xf numFmtId="0" fontId="2" fillId="8" borderId="25" xfId="0" applyFont="1" applyFill="1" applyBorder="1" applyAlignment="1" applyProtection="1">
      <alignment horizontal="left" vertical="center" wrapText="1"/>
      <protection locked="0"/>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4" fillId="7" borderId="3"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2" fillId="8" borderId="10" xfId="0" applyFont="1" applyFill="1" applyBorder="1" applyAlignment="1">
      <alignment horizontal="left" vertical="center" wrapText="1"/>
    </xf>
    <xf numFmtId="0" fontId="2" fillId="8" borderId="12" xfId="0" applyFont="1" applyFill="1" applyBorder="1" applyAlignment="1">
      <alignment horizontal="left" vertical="center" wrapText="1"/>
    </xf>
    <xf numFmtId="0" fontId="2" fillId="8" borderId="36" xfId="0" applyFont="1" applyFill="1" applyBorder="1" applyAlignment="1">
      <alignment horizontal="left" vertical="center" wrapText="1"/>
    </xf>
    <xf numFmtId="0" fontId="2" fillId="8" borderId="0" xfId="0" applyFont="1" applyFill="1" applyBorder="1" applyAlignment="1">
      <alignment horizontal="left" vertical="center" wrapText="1"/>
    </xf>
    <xf numFmtId="0" fontId="2" fillId="8" borderId="38"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4" borderId="14" xfId="0" applyFont="1" applyFill="1" applyBorder="1" applyAlignment="1">
      <alignment horizontal="lef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4" borderId="3" xfId="0" applyFont="1" applyFill="1" applyBorder="1" applyAlignment="1">
      <alignment horizontal="left" vertical="top" wrapText="1"/>
    </xf>
    <xf numFmtId="0" fontId="2" fillId="4" borderId="1" xfId="0" applyFont="1" applyFill="1" applyBorder="1" applyAlignment="1">
      <alignment horizontal="left" vertical="top" wrapText="1"/>
    </xf>
    <xf numFmtId="0" fontId="2" fillId="4" borderId="14" xfId="0" applyFont="1" applyFill="1" applyBorder="1" applyAlignment="1">
      <alignment horizontal="left" vertical="top" wrapText="1"/>
    </xf>
    <xf numFmtId="0" fontId="2" fillId="8" borderId="11" xfId="0" applyFont="1" applyFill="1" applyBorder="1" applyAlignment="1">
      <alignment horizontal="left" vertical="center" wrapText="1"/>
    </xf>
    <xf numFmtId="0" fontId="2" fillId="8" borderId="16" xfId="0" applyFont="1" applyFill="1" applyBorder="1" applyAlignment="1">
      <alignment horizontal="left" vertical="center" wrapText="1"/>
    </xf>
    <xf numFmtId="0" fontId="2" fillId="8" borderId="21" xfId="0" applyFont="1" applyFill="1" applyBorder="1" applyAlignment="1">
      <alignment horizontal="left" vertical="center" wrapText="1"/>
    </xf>
    <xf numFmtId="0" fontId="5" fillId="9" borderId="11" xfId="0" applyFont="1" applyFill="1" applyBorder="1" applyAlignment="1" applyProtection="1">
      <alignment horizontal="left" vertical="center" wrapText="1"/>
      <protection locked="0"/>
    </xf>
    <xf numFmtId="0" fontId="5" fillId="9" borderId="34" xfId="0" applyFont="1" applyFill="1" applyBorder="1" applyAlignment="1" applyProtection="1">
      <alignment horizontal="left" vertical="center" wrapText="1"/>
      <protection locked="0"/>
    </xf>
    <xf numFmtId="0" fontId="5" fillId="10" borderId="20" xfId="0" applyFont="1" applyFill="1" applyBorder="1" applyAlignment="1">
      <alignment horizontal="left" vertical="top" wrapText="1"/>
    </xf>
    <xf numFmtId="0" fontId="5" fillId="10" borderId="8" xfId="0" applyFont="1" applyFill="1" applyBorder="1" applyAlignment="1">
      <alignment horizontal="left" vertical="top" wrapText="1"/>
    </xf>
    <xf numFmtId="0" fontId="5" fillId="9" borderId="37" xfId="0" applyFont="1" applyFill="1" applyBorder="1" applyAlignment="1" applyProtection="1">
      <alignment horizontal="left" vertical="center" wrapText="1"/>
      <protection locked="0"/>
    </xf>
    <xf numFmtId="0" fontId="5" fillId="9" borderId="2" xfId="0" applyFont="1" applyFill="1" applyBorder="1" applyAlignment="1" applyProtection="1">
      <alignment horizontal="left" vertical="center" wrapText="1"/>
      <protection locked="0"/>
    </xf>
    <xf numFmtId="0" fontId="2" fillId="9" borderId="26" xfId="0" applyFont="1" applyFill="1" applyBorder="1" applyAlignment="1">
      <alignment horizontal="center" vertical="center" wrapText="1"/>
    </xf>
    <xf numFmtId="0" fontId="2" fillId="9" borderId="22" xfId="0" applyFont="1" applyFill="1" applyBorder="1" applyAlignment="1">
      <alignment horizontal="center" vertical="center" wrapText="1"/>
    </xf>
    <xf numFmtId="0" fontId="2" fillId="9" borderId="23" xfId="0" applyFont="1" applyFill="1" applyBorder="1" applyAlignment="1">
      <alignment horizontal="center" vertical="center" wrapText="1"/>
    </xf>
    <xf numFmtId="0" fontId="2" fillId="9" borderId="17" xfId="0" applyFont="1" applyFill="1" applyBorder="1" applyAlignment="1">
      <alignment horizontal="left" vertical="center"/>
    </xf>
    <xf numFmtId="0" fontId="2" fillId="9" borderId="19" xfId="0" applyFont="1" applyFill="1" applyBorder="1" applyAlignment="1">
      <alignment horizontal="left" vertical="center"/>
    </xf>
    <xf numFmtId="0" fontId="5" fillId="9" borderId="13" xfId="0" applyFont="1" applyFill="1" applyBorder="1" applyAlignment="1" applyProtection="1">
      <alignment horizontal="left" vertical="center" wrapText="1"/>
      <protection locked="0"/>
    </xf>
    <xf numFmtId="0" fontId="5" fillId="9" borderId="31" xfId="0" applyFont="1" applyFill="1" applyBorder="1" applyAlignment="1" applyProtection="1">
      <alignment horizontal="left" vertical="center" wrapText="1"/>
      <protection locked="0"/>
    </xf>
    <xf numFmtId="0" fontId="2" fillId="4" borderId="3" xfId="0" applyFont="1" applyFill="1" applyBorder="1" applyAlignment="1">
      <alignment horizontal="right" vertical="center" wrapText="1"/>
    </xf>
    <xf numFmtId="0" fontId="2" fillId="4" borderId="1" xfId="0" applyFont="1" applyFill="1" applyBorder="1" applyAlignment="1">
      <alignment horizontal="right" vertical="center" wrapText="1"/>
    </xf>
    <xf numFmtId="0" fontId="5" fillId="9" borderId="4" xfId="0" applyFont="1" applyFill="1" applyBorder="1" applyAlignment="1">
      <alignment horizontal="center" vertical="center" wrapText="1"/>
    </xf>
    <xf numFmtId="0" fontId="5" fillId="9" borderId="26" xfId="0" applyFont="1" applyFill="1" applyBorder="1" applyAlignment="1">
      <alignment horizontal="center" vertical="center" wrapText="1"/>
    </xf>
    <xf numFmtId="0" fontId="5" fillId="9" borderId="19" xfId="0" applyFont="1" applyFill="1" applyBorder="1" applyAlignment="1">
      <alignment horizontal="center" vertical="center" wrapText="1"/>
    </xf>
    <xf numFmtId="0" fontId="5" fillId="10" borderId="11" xfId="0" applyFont="1" applyFill="1" applyBorder="1" applyAlignment="1" applyProtection="1">
      <alignment horizontal="left" vertical="center" wrapText="1"/>
      <protection locked="0"/>
    </xf>
    <xf numFmtId="0" fontId="5" fillId="10" borderId="30" xfId="0" applyFont="1" applyFill="1" applyBorder="1" applyAlignment="1" applyProtection="1">
      <alignment horizontal="left" vertical="center" wrapText="1"/>
      <protection locked="0"/>
    </xf>
    <xf numFmtId="0" fontId="5" fillId="10" borderId="29" xfId="0" applyFont="1" applyFill="1" applyBorder="1" applyAlignment="1">
      <alignment horizontal="left" vertical="center" wrapText="1"/>
    </xf>
    <xf numFmtId="0" fontId="5" fillId="10" borderId="32" xfId="0" applyFont="1" applyFill="1" applyBorder="1" applyAlignment="1">
      <alignment horizontal="left" vertical="center" wrapText="1"/>
    </xf>
    <xf numFmtId="0" fontId="5" fillId="10" borderId="13" xfId="0" applyFont="1" applyFill="1" applyBorder="1" applyAlignment="1">
      <alignment horizontal="left" vertical="top" wrapText="1"/>
    </xf>
    <xf numFmtId="0" fontId="5" fillId="10" borderId="35" xfId="0" applyFont="1" applyFill="1" applyBorder="1" applyAlignment="1">
      <alignment horizontal="left" vertical="top" wrapText="1"/>
    </xf>
    <xf numFmtId="0" fontId="2" fillId="9" borderId="10" xfId="0" applyFont="1" applyFill="1" applyBorder="1" applyAlignment="1">
      <alignment horizontal="left" vertical="center"/>
    </xf>
    <xf numFmtId="0" fontId="2" fillId="9" borderId="12" xfId="0" applyFont="1" applyFill="1" applyBorder="1" applyAlignment="1">
      <alignment horizontal="left" vertical="center"/>
    </xf>
    <xf numFmtId="0" fontId="2" fillId="9" borderId="16" xfId="0" applyFont="1" applyFill="1" applyBorder="1" applyAlignment="1">
      <alignment horizontal="left" vertical="center"/>
    </xf>
    <xf numFmtId="0" fontId="2" fillId="9" borderId="26" xfId="0" applyFont="1" applyFill="1" applyBorder="1" applyAlignment="1">
      <alignment horizontal="left" vertical="center"/>
    </xf>
    <xf numFmtId="0" fontId="16" fillId="26" borderId="39" xfId="0" applyFont="1" applyFill="1" applyBorder="1" applyAlignment="1">
      <alignment horizontal="center" vertical="center" wrapText="1"/>
    </xf>
    <xf numFmtId="9" fontId="16" fillId="13" borderId="39" xfId="2" applyFont="1" applyFill="1" applyBorder="1" applyAlignment="1">
      <alignment horizontal="center" vertical="center" wrapText="1"/>
    </xf>
    <xf numFmtId="0" fontId="17" fillId="12" borderId="39" xfId="0" applyFont="1" applyFill="1" applyBorder="1" applyAlignment="1">
      <alignment horizontal="center" vertical="center" wrapText="1"/>
    </xf>
    <xf numFmtId="0" fontId="17" fillId="17" borderId="39" xfId="0" applyFont="1" applyFill="1" applyBorder="1" applyAlignment="1">
      <alignment horizontal="center" vertical="center" wrapText="1"/>
    </xf>
    <xf numFmtId="0" fontId="17" fillId="15" borderId="39" xfId="0" applyFont="1" applyFill="1" applyBorder="1" applyAlignment="1">
      <alignment horizontal="center" vertical="center" wrapText="1"/>
    </xf>
    <xf numFmtId="0" fontId="17" fillId="13" borderId="39" xfId="0" applyFont="1" applyFill="1" applyBorder="1" applyAlignment="1">
      <alignment horizontal="center" vertical="center" wrapText="1"/>
    </xf>
    <xf numFmtId="0" fontId="17" fillId="19" borderId="39" xfId="0" applyFont="1" applyFill="1" applyBorder="1" applyAlignment="1">
      <alignment horizontal="center" vertical="center" wrapText="1"/>
    </xf>
    <xf numFmtId="0" fontId="17" fillId="17" borderId="39" xfId="0" applyFont="1" applyFill="1" applyBorder="1" applyAlignment="1" applyProtection="1">
      <alignment horizontal="center" vertical="center" wrapText="1"/>
      <protection locked="0"/>
    </xf>
    <xf numFmtId="0" fontId="17" fillId="20" borderId="39" xfId="0" applyFont="1" applyFill="1" applyBorder="1" applyAlignment="1">
      <alignment horizontal="center" vertical="center" wrapText="1"/>
    </xf>
    <xf numFmtId="0" fontId="17" fillId="18" borderId="39" xfId="0" applyFont="1" applyFill="1" applyBorder="1" applyAlignment="1">
      <alignment horizontal="center" vertical="center" wrapText="1"/>
    </xf>
    <xf numFmtId="0" fontId="17" fillId="21" borderId="39" xfId="0" applyFont="1" applyFill="1" applyBorder="1" applyAlignment="1" applyProtection="1">
      <alignment horizontal="center" vertical="center" wrapText="1"/>
      <protection locked="0"/>
    </xf>
    <xf numFmtId="0" fontId="17" fillId="24" borderId="39" xfId="0" applyFont="1" applyFill="1" applyBorder="1" applyAlignment="1" applyProtection="1">
      <alignment horizontal="center" vertical="center" wrapText="1"/>
      <protection locked="0"/>
    </xf>
    <xf numFmtId="0" fontId="17" fillId="22" borderId="39" xfId="0" applyFont="1" applyFill="1" applyBorder="1" applyAlignment="1" applyProtection="1">
      <alignment horizontal="center" vertical="center" wrapText="1"/>
      <protection locked="0"/>
    </xf>
    <xf numFmtId="0" fontId="17" fillId="23" borderId="39" xfId="0" applyFont="1" applyFill="1" applyBorder="1" applyAlignment="1" applyProtection="1">
      <alignment horizontal="center" vertical="center" wrapText="1"/>
      <protection locked="0"/>
    </xf>
    <xf numFmtId="0" fontId="16" fillId="11" borderId="39" xfId="0" applyFont="1" applyFill="1" applyBorder="1" applyAlignment="1">
      <alignment horizontal="center" vertical="center" wrapText="1"/>
    </xf>
    <xf numFmtId="0" fontId="16" fillId="0" borderId="0" xfId="0" applyFont="1"/>
  </cellXfs>
  <cellStyles count="3">
    <cellStyle name="Hipervínculo" xfId="1" builtinId="8"/>
    <cellStyle name="Normal" xfId="0" builtinId="0"/>
    <cellStyle name="Porcentaje" xfId="2" builtinId="5"/>
  </cellStyles>
  <dxfs count="16">
    <dxf>
      <alignment horizontal="left" readingOrder="0"/>
    </dxf>
    <dxf>
      <alignment horizontal="left" readingOrder="0"/>
    </dxf>
    <dxf>
      <numFmt numFmtId="13" formatCode="0%"/>
    </dxf>
    <dxf>
      <numFmt numFmtId="13" formatCode="0%"/>
    </dxf>
    <dxf>
      <alignment horizontal="left" readingOrder="0"/>
    </dxf>
    <dxf>
      <alignment horizontal="left" readingOrder="0"/>
    </dxf>
    <dxf>
      <numFmt numFmtId="13" formatCode="0%"/>
    </dxf>
    <dxf>
      <numFmt numFmtId="13" formatCode="0%"/>
    </dxf>
    <dxf>
      <alignment horizontal="left" readingOrder="0"/>
    </dxf>
    <dxf>
      <alignment horizontal="left" readingOrder="0"/>
    </dxf>
    <dxf>
      <numFmt numFmtId="13" formatCode="0%"/>
    </dxf>
    <dxf>
      <numFmt numFmtId="13" formatCode="0%"/>
    </dxf>
    <dxf>
      <alignment horizontal="left" readingOrder="0"/>
    </dxf>
    <dxf>
      <alignment horizontal="left" readingOrder="0"/>
    </dxf>
    <dxf>
      <numFmt numFmtId="13" formatCode="0%"/>
    </dxf>
    <dxf>
      <numFmt numFmtId="13" formatCode="0%"/>
    </dxf>
  </dxfs>
  <tableStyles count="0" defaultTableStyle="TableStyleMedium2" defaultPivotStyle="PivotStyleLight16"/>
  <colors>
    <mruColors>
      <color rgb="FFDDDDDD"/>
      <color rgb="FFFCD0F4"/>
      <color rgb="FFCCCCFF"/>
      <color rgb="FF9999FF"/>
      <color rgb="FFEABE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[20230523 ficha con propios e impropios.xlsx]FICHA DE CARACTERIZACION A 3.1!TablaDinámica2</c:name>
    <c:fmtId val="0"/>
  </c:pivotSource>
  <c:chart>
    <c:title>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65000"/>
                  <a:lumOff val="35000"/>
                </a:schemeClr>
              </a:solidFill>
              <a:latin typeface="+mn-lt"/>
              <a:ea typeface="+mn-ea"/>
              <a:cs typeface="+mn-cs"/>
            </a:defRPr>
          </a:pPr>
          <a:endParaRPr lang="es-ES"/>
        </a:p>
      </c:txPr>
    </c:title>
    <c:autoTitleDeleted val="0"/>
    <c:pivotFmts>
      <c:pivotFmt>
        <c:idx val="0"/>
      </c:pivotFmt>
      <c:pivotFmt>
        <c:idx val="1"/>
      </c:pivotFmt>
      <c:pivotFmt>
        <c:idx val="2"/>
        <c:dLbl>
          <c:idx val="0"/>
          <c:dLblPos val="inEnd"/>
          <c:showLegendKey val="0"/>
          <c:showVal val="0"/>
          <c:showCatName val="0"/>
          <c:showSerName val="0"/>
          <c:showPercent val="1"/>
          <c:showBubbleSize val="0"/>
          <c:extLst>
            <c:ext xmlns:c15="http://schemas.microsoft.com/office/drawing/2012/chart" uri="{CE6537A1-D6FC-4f65-9D91-7224C49458BB}"/>
          </c:extLst>
        </c:dLbl>
      </c:pivotFmt>
      <c:pivotFmt>
        <c:idx val="3"/>
        <c:dLbl>
          <c:idx val="0"/>
          <c:dLblPos val="inEnd"/>
          <c:showLegendKey val="0"/>
          <c:showVal val="0"/>
          <c:showCatName val="0"/>
          <c:showSerName val="0"/>
          <c:showPercent val="1"/>
          <c:showBubbleSize val="0"/>
          <c:extLst>
            <c:ext xmlns:c15="http://schemas.microsoft.com/office/drawing/2012/chart" uri="{CE6537A1-D6FC-4f65-9D91-7224C49458BB}"/>
          </c:extLst>
        </c:dLbl>
      </c:pivotFmt>
      <c:pivotFmt>
        <c:idx val="4"/>
        <c:spPr>
          <a:solidFill>
            <a:schemeClr val="accent1"/>
          </a:solidFill>
          <a:ln>
            <a:noFill/>
          </a:ln>
          <a:effectLst>
            <a:outerShdw blurRad="317500" algn="ctr" rotWithShape="0">
              <a:prstClr val="black">
                <a:alpha val="25000"/>
              </a:prstClr>
            </a:outerShdw>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S"/>
            </a:p>
          </c:txPr>
          <c:dLblPos val="inEnd"/>
          <c:showLegendKey val="0"/>
          <c:showVal val="0"/>
          <c:showCatName val="0"/>
          <c:showSerName val="0"/>
          <c:showPercent val="1"/>
          <c:showBubbleSize val="0"/>
          <c:extLst>
            <c:ext xmlns:c15="http://schemas.microsoft.com/office/drawing/2012/chart" uri="{CE6537A1-D6FC-4f65-9D91-7224C49458BB}">
              <c15:layout/>
            </c:ext>
          </c:extLst>
        </c:dLbl>
      </c:pivotFmt>
      <c:pivotFmt>
        <c:idx val="5"/>
        <c:spPr>
          <a:solidFill>
            <a:schemeClr val="accent1"/>
          </a:solidFill>
          <a:ln>
            <a:noFill/>
          </a:ln>
          <a:effectLst>
            <a:outerShdw blurRad="317500" algn="ctr" rotWithShape="0">
              <a:prstClr val="black">
                <a:alpha val="25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S"/>
            </a:p>
          </c:txPr>
          <c:dLblPos val="inEnd"/>
          <c:showLegendKey val="0"/>
          <c:showVal val="0"/>
          <c:showCatName val="0"/>
          <c:showSerName val="0"/>
          <c:showPercent val="1"/>
          <c:showBubbleSize val="0"/>
          <c:extLst>
            <c:ext xmlns:c15="http://schemas.microsoft.com/office/drawing/2012/chart" uri="{CE6537A1-D6FC-4f65-9D91-7224C49458BB}"/>
          </c:extLst>
        </c:dLbl>
      </c:pivotFmt>
      <c:pivotFmt>
        <c:idx val="6"/>
        <c:spPr>
          <a:solidFill>
            <a:schemeClr val="accent1"/>
          </a:solidFill>
          <a:ln>
            <a:noFill/>
          </a:ln>
          <a:effectLst>
            <a:outerShdw blurRad="317500" algn="ctr" rotWithShape="0">
              <a:prstClr val="black">
                <a:alpha val="25000"/>
              </a:prstClr>
            </a:outerShdw>
          </a:effectLst>
        </c:spPr>
      </c:pivotFmt>
      <c:pivotFmt>
        <c:idx val="7"/>
        <c:spPr>
          <a:solidFill>
            <a:schemeClr val="accent1"/>
          </a:solidFill>
          <a:ln>
            <a:noFill/>
          </a:ln>
          <a:effectLst>
            <a:outerShdw blurRad="317500" algn="ctr" rotWithShape="0">
              <a:prstClr val="black">
                <a:alpha val="25000"/>
              </a:prstClr>
            </a:outerShdw>
          </a:effectLst>
        </c:spPr>
      </c:pivotFmt>
      <c:pivotFmt>
        <c:idx val="8"/>
        <c:spPr>
          <a:solidFill>
            <a:schemeClr val="accent1"/>
          </a:solidFill>
          <a:ln>
            <a:noFill/>
          </a:ln>
          <a:effectLst>
            <a:outerShdw blurRad="317500" algn="ctr" rotWithShape="0">
              <a:prstClr val="black">
                <a:alpha val="25000"/>
              </a:prstClr>
            </a:outerShdw>
          </a:effectLst>
        </c:spPr>
      </c:pivotFmt>
      <c:pivotFmt>
        <c:idx val="9"/>
        <c:spPr>
          <a:solidFill>
            <a:schemeClr val="accent1"/>
          </a:solidFill>
          <a:ln>
            <a:noFill/>
          </a:ln>
          <a:effectLst>
            <a:outerShdw blurRad="317500" algn="ctr" rotWithShape="0">
              <a:prstClr val="black">
                <a:alpha val="25000"/>
              </a:prstClr>
            </a:outerShdw>
          </a:effectLst>
        </c:spPr>
      </c:pivotFmt>
    </c:pivotFmts>
    <c:plotArea>
      <c:layout/>
      <c:pieChart>
        <c:varyColors val="1"/>
        <c:ser>
          <c:idx val="0"/>
          <c:order val="0"/>
          <c:tx>
            <c:strRef>
              <c:f>'FICHA DE CARACTERIZACION A 3.1'!$B$201</c:f>
              <c:strCache>
                <c:ptCount val="1"/>
                <c:pt idx="0">
                  <c:v>Suma de TOTAL</c:v>
                </c:pt>
              </c:strCache>
            </c:strRef>
          </c:tx>
          <c:dPt>
            <c:idx val="0"/>
            <c:bubble3D val="0"/>
            <c:spPr>
              <a:solidFill>
                <a:schemeClr val="accent1"/>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1-A00E-4DD1-9948-246A914C8D92}"/>
              </c:ext>
            </c:extLst>
          </c:dPt>
          <c:dPt>
            <c:idx val="1"/>
            <c:bubble3D val="0"/>
            <c:spPr>
              <a:solidFill>
                <a:schemeClr val="accent2"/>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3-A00E-4DD1-9948-246A914C8D92}"/>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S"/>
              </a:p>
            </c:txPr>
            <c:dLblPos val="inEnd"/>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15:layout/>
              </c:ext>
            </c:extLst>
          </c:dLbls>
          <c:cat>
            <c:strRef>
              <c:f>'FICHA DE CARACTERIZACION A 3.1'!$A$202:$A$204</c:f>
              <c:strCache>
                <c:ptCount val="2"/>
                <c:pt idx="0">
                  <c:v>Impropio</c:v>
                </c:pt>
                <c:pt idx="1">
                  <c:v>Solicitado</c:v>
                </c:pt>
              </c:strCache>
            </c:strRef>
          </c:cat>
          <c:val>
            <c:numRef>
              <c:f>'FICHA DE CARACTERIZACION A 3.1'!$B$202:$B$204</c:f>
              <c:numCache>
                <c:formatCode>General</c:formatCode>
                <c:ptCount val="2"/>
                <c:pt idx="0">
                  <c:v>9787.5999999999985</c:v>
                </c:pt>
                <c:pt idx="1">
                  <c:v>5579.399999999996</c:v>
                </c:pt>
              </c:numCache>
            </c:numRef>
          </c:val>
          <c:extLst>
            <c:ext xmlns:c16="http://schemas.microsoft.com/office/drawing/2014/chart" uri="{C3380CC4-5D6E-409C-BE32-E72D297353CC}">
              <c16:uniqueId val="{00000000-22AC-48AA-B7E9-8A7FC67C12B0}"/>
            </c:ext>
          </c:extLst>
        </c:ser>
        <c:ser>
          <c:idx val="1"/>
          <c:order val="1"/>
          <c:tx>
            <c:strRef>
              <c:f>'FICHA DE CARACTERIZACION A 3.1'!$C$201</c:f>
              <c:strCache>
                <c:ptCount val="1"/>
                <c:pt idx="0">
                  <c:v>Suma de %</c:v>
                </c:pt>
              </c:strCache>
            </c:strRef>
          </c:tx>
          <c:dPt>
            <c:idx val="0"/>
            <c:bubble3D val="0"/>
            <c:spPr>
              <a:solidFill>
                <a:schemeClr val="accent1"/>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5-A00E-4DD1-9948-246A914C8D92}"/>
              </c:ext>
            </c:extLst>
          </c:dPt>
          <c:dPt>
            <c:idx val="1"/>
            <c:bubble3D val="0"/>
            <c:spPr>
              <a:solidFill>
                <a:schemeClr val="accent2"/>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7-A00E-4DD1-9948-246A914C8D92}"/>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S"/>
              </a:p>
            </c:txPr>
            <c:dLblPos val="inEnd"/>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Ref>
              <c:f>'FICHA DE CARACTERIZACION A 3.1'!$A$202:$A$204</c:f>
              <c:strCache>
                <c:ptCount val="2"/>
                <c:pt idx="0">
                  <c:v>Impropio</c:v>
                </c:pt>
                <c:pt idx="1">
                  <c:v>Solicitado</c:v>
                </c:pt>
              </c:strCache>
            </c:strRef>
          </c:cat>
          <c:val>
            <c:numRef>
              <c:f>'FICHA DE CARACTERIZACION A 3.1'!$C$202:$C$204</c:f>
              <c:numCache>
                <c:formatCode>0%</c:formatCode>
                <c:ptCount val="2"/>
                <c:pt idx="0">
                  <c:v>0.63692327715233854</c:v>
                </c:pt>
                <c:pt idx="1">
                  <c:v>0.36307672284766013</c:v>
                </c:pt>
              </c:numCache>
            </c:numRef>
          </c:val>
          <c:extLst>
            <c:ext xmlns:c16="http://schemas.microsoft.com/office/drawing/2014/chart" uri="{C3380CC4-5D6E-409C-BE32-E72D297353CC}">
              <c16:uniqueId val="{00000001-22AC-48AA-B7E9-8A7FC67C12B0}"/>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r"/>
      <c:layout/>
      <c:overlay val="0"/>
      <c:spPr>
        <a:solidFill>
          <a:schemeClr val="lt1">
            <a:alpha val="78000"/>
          </a:schemeClr>
        </a:solid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1"/>
    <c:dispBlanksAs val="gap"/>
    <c:showDLblsOverMax val="0"/>
  </c:chart>
  <c:spPr>
    <a:pattFill prst="dkDnDiag">
      <a:fgClr>
        <a:schemeClr val="lt1">
          <a:lumMod val="95000"/>
        </a:schemeClr>
      </a:fgClr>
      <a:bgClr>
        <a:schemeClr val="lt1"/>
      </a:bgClr>
    </a:patt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[20230523 ficha con propios e impropios.xlsx]FICHA DE CARACTERIZACION A 3.1!TablaDinámica3</c:name>
    <c:fmtId val="1"/>
  </c:pivotSource>
  <c:chart>
    <c:title>
      <c:layout>
        <c:manualLayout>
          <c:xMode val="edge"/>
          <c:yMode val="edge"/>
          <c:x val="0.28289315796579073"/>
          <c:y val="4.0246881269170455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65000"/>
                  <a:lumOff val="35000"/>
                </a:schemeClr>
              </a:solidFill>
              <a:latin typeface="+mn-lt"/>
              <a:ea typeface="+mn-ea"/>
              <a:cs typeface="+mn-cs"/>
            </a:defRPr>
          </a:pPr>
          <a:endParaRPr lang="es-ES"/>
        </a:p>
      </c:txPr>
    </c:title>
    <c:autoTitleDeleted val="0"/>
    <c:pivotFmts>
      <c:pivotFmt>
        <c:idx val="0"/>
      </c:pivotFmt>
      <c:pivotFmt>
        <c:idx val="1"/>
      </c:pivotFmt>
      <c:pivotFmt>
        <c:idx val="2"/>
      </c:pivotFmt>
      <c:pivotFmt>
        <c:idx val="3"/>
      </c:pivotFmt>
      <c:pivotFmt>
        <c:idx val="4"/>
        <c:dLbl>
          <c:idx val="0"/>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dLbl>
          <c:idx val="0"/>
          <c:dLblPos val="inEnd"/>
          <c:showLegendKey val="0"/>
          <c:showVal val="0"/>
          <c:showCatName val="0"/>
          <c:showSerName val="0"/>
          <c:showPercent val="1"/>
          <c:showBubbleSize val="0"/>
          <c:extLst>
            <c:ext xmlns:c15="http://schemas.microsoft.com/office/drawing/2012/chart" uri="{CE6537A1-D6FC-4f65-9D91-7224C49458BB}"/>
          </c:extLst>
        </c:dLbl>
      </c:pivotFmt>
      <c:pivotFmt>
        <c:idx val="7"/>
        <c:dLbl>
          <c:idx val="0"/>
          <c:dLblPos val="inEnd"/>
          <c:showLegendKey val="0"/>
          <c:showVal val="0"/>
          <c:showCatName val="0"/>
          <c:showSerName val="0"/>
          <c:showPercent val="1"/>
          <c:showBubbleSize val="0"/>
          <c:extLst>
            <c:ext xmlns:c15="http://schemas.microsoft.com/office/drawing/2012/chart" uri="{CE6537A1-D6FC-4f65-9D91-7224C49458BB}"/>
          </c:extLst>
        </c:dLbl>
      </c:pivotFmt>
      <c:pivotFmt>
        <c:idx val="8"/>
        <c:spPr>
          <a:solidFill>
            <a:schemeClr val="accent1"/>
          </a:solidFill>
          <a:ln>
            <a:noFill/>
          </a:ln>
          <a:effectLst>
            <a:outerShdw blurRad="317500" algn="ctr" rotWithShape="0">
              <a:prstClr val="black">
                <a:alpha val="25000"/>
              </a:prstClr>
            </a:outerShdw>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S"/>
            </a:p>
          </c:txPr>
          <c:dLblPos val="inEnd"/>
          <c:showLegendKey val="0"/>
          <c:showVal val="0"/>
          <c:showCatName val="0"/>
          <c:showSerName val="0"/>
          <c:showPercent val="1"/>
          <c:showBubbleSize val="0"/>
          <c:extLst>
            <c:ext xmlns:c15="http://schemas.microsoft.com/office/drawing/2012/chart" uri="{CE6537A1-D6FC-4f65-9D91-7224C49458BB}">
              <c15:layout/>
            </c:ext>
          </c:extLst>
        </c:dLbl>
      </c:pivotFmt>
      <c:pivotFmt>
        <c:idx val="9"/>
        <c:spPr>
          <a:solidFill>
            <a:schemeClr val="accent1"/>
          </a:solidFill>
          <a:ln>
            <a:noFill/>
          </a:ln>
          <a:effectLst>
            <a:outerShdw blurRad="317500" algn="ctr" rotWithShape="0">
              <a:prstClr val="black">
                <a:alpha val="25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S"/>
            </a:p>
          </c:txPr>
          <c:dLblPos val="inEnd"/>
          <c:showLegendKey val="0"/>
          <c:showVal val="0"/>
          <c:showCatName val="0"/>
          <c:showSerName val="0"/>
          <c:showPercent val="1"/>
          <c:showBubbleSize val="0"/>
          <c:extLst>
            <c:ext xmlns:c15="http://schemas.microsoft.com/office/drawing/2012/chart" uri="{CE6537A1-D6FC-4f65-9D91-7224C49458BB}"/>
          </c:extLst>
        </c:dLbl>
      </c:pivotFmt>
      <c:pivotFmt>
        <c:idx val="10"/>
        <c:spPr>
          <a:solidFill>
            <a:schemeClr val="accent1"/>
          </a:solidFill>
          <a:ln>
            <a:noFill/>
          </a:ln>
          <a:effectLst>
            <a:outerShdw blurRad="317500" algn="ctr" rotWithShape="0">
              <a:prstClr val="black">
                <a:alpha val="25000"/>
              </a:prstClr>
            </a:outerShdw>
          </a:effectLst>
        </c:spPr>
      </c:pivotFmt>
      <c:pivotFmt>
        <c:idx val="11"/>
        <c:spPr>
          <a:solidFill>
            <a:schemeClr val="accent1"/>
          </a:solidFill>
          <a:ln>
            <a:noFill/>
          </a:ln>
          <a:effectLst>
            <a:outerShdw blurRad="317500" algn="ctr" rotWithShape="0">
              <a:prstClr val="black">
                <a:alpha val="25000"/>
              </a:prstClr>
            </a:outerShdw>
          </a:effectLst>
        </c:spPr>
      </c:pivotFmt>
      <c:pivotFmt>
        <c:idx val="12"/>
        <c:spPr>
          <a:solidFill>
            <a:schemeClr val="accent1"/>
          </a:solidFill>
          <a:ln>
            <a:noFill/>
          </a:ln>
          <a:effectLst>
            <a:outerShdw blurRad="317500" algn="ctr" rotWithShape="0">
              <a:prstClr val="black">
                <a:alpha val="25000"/>
              </a:prstClr>
            </a:outerShdw>
          </a:effectLst>
        </c:spPr>
      </c:pivotFmt>
      <c:pivotFmt>
        <c:idx val="13"/>
        <c:spPr>
          <a:solidFill>
            <a:schemeClr val="accent1"/>
          </a:solidFill>
          <a:ln>
            <a:noFill/>
          </a:ln>
          <a:effectLst>
            <a:outerShdw blurRad="317500" algn="ctr" rotWithShape="0">
              <a:prstClr val="black">
                <a:alpha val="25000"/>
              </a:prstClr>
            </a:outerShdw>
          </a:effectLst>
        </c:spPr>
      </c:pivotFmt>
      <c:pivotFmt>
        <c:idx val="14"/>
        <c:spPr>
          <a:solidFill>
            <a:schemeClr val="accent1"/>
          </a:solidFill>
          <a:ln>
            <a:noFill/>
          </a:ln>
          <a:effectLst>
            <a:outerShdw blurRad="317500" algn="ctr" rotWithShape="0">
              <a:prstClr val="black">
                <a:alpha val="25000"/>
              </a:prstClr>
            </a:outerShdw>
          </a:effectLst>
        </c:spPr>
      </c:pivotFmt>
      <c:pivotFmt>
        <c:idx val="15"/>
        <c:spPr>
          <a:solidFill>
            <a:schemeClr val="accent1"/>
          </a:solidFill>
          <a:ln>
            <a:noFill/>
          </a:ln>
          <a:effectLst>
            <a:outerShdw blurRad="317500" algn="ctr" rotWithShape="0">
              <a:prstClr val="black">
                <a:alpha val="25000"/>
              </a:prstClr>
            </a:outerShdw>
          </a:effectLst>
        </c:spPr>
      </c:pivotFmt>
      <c:pivotFmt>
        <c:idx val="16"/>
        <c:spPr>
          <a:solidFill>
            <a:schemeClr val="accent1"/>
          </a:solidFill>
          <a:ln>
            <a:noFill/>
          </a:ln>
          <a:effectLst>
            <a:outerShdw blurRad="317500" algn="ctr" rotWithShape="0">
              <a:prstClr val="black">
                <a:alpha val="25000"/>
              </a:prstClr>
            </a:outerShdw>
          </a:effectLst>
        </c:spPr>
      </c:pivotFmt>
      <c:pivotFmt>
        <c:idx val="17"/>
        <c:spPr>
          <a:solidFill>
            <a:schemeClr val="accent1"/>
          </a:solidFill>
          <a:ln>
            <a:noFill/>
          </a:ln>
          <a:effectLst>
            <a:outerShdw blurRad="317500" algn="ctr" rotWithShape="0">
              <a:prstClr val="black">
                <a:alpha val="25000"/>
              </a:prstClr>
            </a:outerShdw>
          </a:effectLst>
        </c:spPr>
      </c:pivotFmt>
      <c:pivotFmt>
        <c:idx val="18"/>
        <c:spPr>
          <a:solidFill>
            <a:schemeClr val="accent1"/>
          </a:solidFill>
          <a:ln>
            <a:noFill/>
          </a:ln>
          <a:effectLst>
            <a:outerShdw blurRad="317500" algn="ctr" rotWithShape="0">
              <a:prstClr val="black">
                <a:alpha val="25000"/>
              </a:prstClr>
            </a:outerShdw>
          </a:effectLst>
        </c:spPr>
      </c:pivotFmt>
      <c:pivotFmt>
        <c:idx val="19"/>
        <c:spPr>
          <a:solidFill>
            <a:schemeClr val="accent1"/>
          </a:solidFill>
          <a:ln>
            <a:noFill/>
          </a:ln>
          <a:effectLst>
            <a:outerShdw blurRad="317500" algn="ctr" rotWithShape="0">
              <a:prstClr val="black">
                <a:alpha val="25000"/>
              </a:prstClr>
            </a:outerShdw>
          </a:effectLst>
        </c:spPr>
      </c:pivotFmt>
      <c:pivotFmt>
        <c:idx val="20"/>
        <c:spPr>
          <a:solidFill>
            <a:schemeClr val="accent1"/>
          </a:solidFill>
          <a:ln>
            <a:noFill/>
          </a:ln>
          <a:effectLst>
            <a:outerShdw blurRad="317500" algn="ctr" rotWithShape="0">
              <a:prstClr val="black">
                <a:alpha val="25000"/>
              </a:prstClr>
            </a:outerShdw>
          </a:effectLst>
        </c:spPr>
      </c:pivotFmt>
      <c:pivotFmt>
        <c:idx val="21"/>
        <c:spPr>
          <a:solidFill>
            <a:schemeClr val="accent1"/>
          </a:solidFill>
          <a:ln>
            <a:noFill/>
          </a:ln>
          <a:effectLst>
            <a:outerShdw blurRad="317500" algn="ctr" rotWithShape="0">
              <a:prstClr val="black">
                <a:alpha val="25000"/>
              </a:prstClr>
            </a:outerShdw>
          </a:effectLst>
        </c:spPr>
      </c:pivotFmt>
      <c:pivotFmt>
        <c:idx val="22"/>
        <c:spPr>
          <a:solidFill>
            <a:schemeClr val="accent1"/>
          </a:solidFill>
          <a:ln>
            <a:noFill/>
          </a:ln>
          <a:effectLst>
            <a:outerShdw blurRad="317500" algn="ctr" rotWithShape="0">
              <a:prstClr val="black">
                <a:alpha val="25000"/>
              </a:prstClr>
            </a:outerShdw>
          </a:effectLst>
        </c:spPr>
      </c:pivotFmt>
      <c:pivotFmt>
        <c:idx val="23"/>
        <c:spPr>
          <a:solidFill>
            <a:schemeClr val="accent1"/>
          </a:solidFill>
          <a:ln>
            <a:noFill/>
          </a:ln>
          <a:effectLst>
            <a:outerShdw blurRad="317500" algn="ctr" rotWithShape="0">
              <a:prstClr val="black">
                <a:alpha val="25000"/>
              </a:prstClr>
            </a:outerShdw>
          </a:effectLst>
        </c:spPr>
      </c:pivotFmt>
      <c:pivotFmt>
        <c:idx val="24"/>
        <c:spPr>
          <a:solidFill>
            <a:schemeClr val="accent1"/>
          </a:solidFill>
          <a:ln>
            <a:noFill/>
          </a:ln>
          <a:effectLst>
            <a:outerShdw blurRad="317500" algn="ctr" rotWithShape="0">
              <a:prstClr val="black">
                <a:alpha val="25000"/>
              </a:prstClr>
            </a:outerShdw>
          </a:effectLst>
        </c:spPr>
      </c:pivotFmt>
      <c:pivotFmt>
        <c:idx val="25"/>
        <c:spPr>
          <a:solidFill>
            <a:schemeClr val="accent1"/>
          </a:solidFill>
          <a:ln>
            <a:noFill/>
          </a:ln>
          <a:effectLst>
            <a:outerShdw blurRad="317500" algn="ctr" rotWithShape="0">
              <a:prstClr val="black">
                <a:alpha val="25000"/>
              </a:prstClr>
            </a:outerShdw>
          </a:effectLst>
        </c:spPr>
      </c:pivotFmt>
      <c:pivotFmt>
        <c:idx val="26"/>
        <c:spPr>
          <a:solidFill>
            <a:schemeClr val="accent1"/>
          </a:solidFill>
          <a:ln>
            <a:noFill/>
          </a:ln>
          <a:effectLst>
            <a:outerShdw blurRad="317500" algn="ctr" rotWithShape="0">
              <a:prstClr val="black">
                <a:alpha val="25000"/>
              </a:prstClr>
            </a:outerShdw>
          </a:effectLst>
        </c:spPr>
      </c:pivotFmt>
      <c:pivotFmt>
        <c:idx val="27"/>
        <c:spPr>
          <a:solidFill>
            <a:schemeClr val="accent1"/>
          </a:solidFill>
          <a:ln>
            <a:noFill/>
          </a:ln>
          <a:effectLst>
            <a:outerShdw blurRad="317500" algn="ctr" rotWithShape="0">
              <a:prstClr val="black">
                <a:alpha val="25000"/>
              </a:prstClr>
            </a:outerShdw>
          </a:effectLst>
        </c:spPr>
      </c:pivotFmt>
      <c:pivotFmt>
        <c:idx val="28"/>
        <c:spPr>
          <a:solidFill>
            <a:schemeClr val="accent1"/>
          </a:solidFill>
          <a:ln>
            <a:noFill/>
          </a:ln>
          <a:effectLst>
            <a:outerShdw blurRad="317500" algn="ctr" rotWithShape="0">
              <a:prstClr val="black">
                <a:alpha val="25000"/>
              </a:prstClr>
            </a:outerShdw>
          </a:effectLst>
        </c:spPr>
      </c:pivotFmt>
      <c:pivotFmt>
        <c:idx val="29"/>
        <c:spPr>
          <a:solidFill>
            <a:schemeClr val="accent1"/>
          </a:solidFill>
          <a:ln>
            <a:noFill/>
          </a:ln>
          <a:effectLst>
            <a:outerShdw blurRad="317500" algn="ctr" rotWithShape="0">
              <a:prstClr val="black">
                <a:alpha val="25000"/>
              </a:prstClr>
            </a:outerShdw>
          </a:effectLst>
        </c:spPr>
      </c:pivotFmt>
      <c:pivotFmt>
        <c:idx val="30"/>
        <c:spPr>
          <a:solidFill>
            <a:schemeClr val="accent1"/>
          </a:solidFill>
          <a:ln>
            <a:noFill/>
          </a:ln>
          <a:effectLst>
            <a:outerShdw blurRad="317500" algn="ctr" rotWithShape="0">
              <a:prstClr val="black">
                <a:alpha val="25000"/>
              </a:prstClr>
            </a:outerShdw>
          </a:effectLst>
        </c:spPr>
      </c:pivotFmt>
      <c:pivotFmt>
        <c:idx val="31"/>
        <c:spPr>
          <a:solidFill>
            <a:schemeClr val="accent1"/>
          </a:solidFill>
          <a:ln>
            <a:noFill/>
          </a:ln>
          <a:effectLst>
            <a:outerShdw blurRad="317500" algn="ctr" rotWithShape="0">
              <a:prstClr val="black">
                <a:alpha val="25000"/>
              </a:prstClr>
            </a:outerShdw>
          </a:effectLst>
        </c:spPr>
      </c:pivotFmt>
      <c:pivotFmt>
        <c:idx val="32"/>
        <c:spPr>
          <a:solidFill>
            <a:schemeClr val="accent1"/>
          </a:solidFill>
          <a:ln>
            <a:noFill/>
          </a:ln>
          <a:effectLst>
            <a:outerShdw blurRad="317500" algn="ctr" rotWithShape="0">
              <a:prstClr val="black">
                <a:alpha val="25000"/>
              </a:prstClr>
            </a:outerShdw>
          </a:effectLst>
        </c:spPr>
      </c:pivotFmt>
      <c:pivotFmt>
        <c:idx val="33"/>
        <c:spPr>
          <a:solidFill>
            <a:schemeClr val="accent1"/>
          </a:solidFill>
          <a:ln>
            <a:noFill/>
          </a:ln>
          <a:effectLst>
            <a:outerShdw blurRad="317500" algn="ctr" rotWithShape="0">
              <a:prstClr val="black">
                <a:alpha val="25000"/>
              </a:prstClr>
            </a:outerShdw>
          </a:effectLst>
        </c:spPr>
      </c:pivotFmt>
      <c:pivotFmt>
        <c:idx val="34"/>
        <c:spPr>
          <a:solidFill>
            <a:schemeClr val="accent1"/>
          </a:solidFill>
          <a:ln>
            <a:noFill/>
          </a:ln>
          <a:effectLst>
            <a:outerShdw blurRad="317500" algn="ctr" rotWithShape="0">
              <a:prstClr val="black">
                <a:alpha val="25000"/>
              </a:prstClr>
            </a:outerShdw>
          </a:effectLst>
        </c:spPr>
      </c:pivotFmt>
      <c:pivotFmt>
        <c:idx val="35"/>
        <c:spPr>
          <a:solidFill>
            <a:schemeClr val="accent1"/>
          </a:solidFill>
          <a:ln>
            <a:noFill/>
          </a:ln>
          <a:effectLst>
            <a:outerShdw blurRad="317500" algn="ctr" rotWithShape="0">
              <a:prstClr val="black">
                <a:alpha val="25000"/>
              </a:prstClr>
            </a:outerShdw>
          </a:effectLst>
        </c:spPr>
      </c:pivotFmt>
      <c:pivotFmt>
        <c:idx val="36"/>
        <c:spPr>
          <a:solidFill>
            <a:schemeClr val="accent1"/>
          </a:solidFill>
          <a:ln>
            <a:noFill/>
          </a:ln>
          <a:effectLst>
            <a:outerShdw blurRad="317500" algn="ctr" rotWithShape="0">
              <a:prstClr val="black">
                <a:alpha val="25000"/>
              </a:prstClr>
            </a:outerShdw>
          </a:effectLst>
        </c:spPr>
      </c:pivotFmt>
      <c:pivotFmt>
        <c:idx val="37"/>
        <c:spPr>
          <a:solidFill>
            <a:schemeClr val="accent1"/>
          </a:solidFill>
          <a:ln>
            <a:noFill/>
          </a:ln>
          <a:effectLst>
            <a:outerShdw blurRad="317500" algn="ctr" rotWithShape="0">
              <a:prstClr val="black">
                <a:alpha val="25000"/>
              </a:prstClr>
            </a:outerShdw>
          </a:effectLst>
        </c:spPr>
      </c:pivotFmt>
      <c:pivotFmt>
        <c:idx val="38"/>
        <c:spPr>
          <a:solidFill>
            <a:schemeClr val="accent1"/>
          </a:solidFill>
          <a:ln>
            <a:noFill/>
          </a:ln>
          <a:effectLst>
            <a:outerShdw blurRad="317500" algn="ctr" rotWithShape="0">
              <a:prstClr val="black">
                <a:alpha val="25000"/>
              </a:prstClr>
            </a:outerShdw>
          </a:effectLst>
        </c:spPr>
      </c:pivotFmt>
      <c:pivotFmt>
        <c:idx val="39"/>
        <c:spPr>
          <a:solidFill>
            <a:schemeClr val="accent1"/>
          </a:solidFill>
          <a:ln>
            <a:noFill/>
          </a:ln>
          <a:effectLst>
            <a:outerShdw blurRad="317500" algn="ctr" rotWithShape="0">
              <a:prstClr val="black">
                <a:alpha val="25000"/>
              </a:prstClr>
            </a:outerShdw>
          </a:effectLst>
        </c:spPr>
      </c:pivotFmt>
      <c:pivotFmt>
        <c:idx val="40"/>
        <c:spPr>
          <a:solidFill>
            <a:schemeClr val="accent1"/>
          </a:solidFill>
          <a:ln>
            <a:noFill/>
          </a:ln>
          <a:effectLst>
            <a:outerShdw blurRad="317500" algn="ctr" rotWithShape="0">
              <a:prstClr val="black">
                <a:alpha val="25000"/>
              </a:prstClr>
            </a:outerShdw>
          </a:effectLst>
        </c:spPr>
      </c:pivotFmt>
      <c:pivotFmt>
        <c:idx val="41"/>
        <c:spPr>
          <a:solidFill>
            <a:schemeClr val="accent1"/>
          </a:solidFill>
          <a:ln>
            <a:noFill/>
          </a:ln>
          <a:effectLst>
            <a:outerShdw blurRad="317500" algn="ctr" rotWithShape="0">
              <a:prstClr val="black">
                <a:alpha val="25000"/>
              </a:prstClr>
            </a:outerShdw>
          </a:effectLst>
        </c:spPr>
      </c:pivotFmt>
    </c:pivotFmts>
    <c:plotArea>
      <c:layout/>
      <c:pieChart>
        <c:varyColors val="1"/>
        <c:ser>
          <c:idx val="0"/>
          <c:order val="0"/>
          <c:tx>
            <c:strRef>
              <c:f>'FICHA DE CARACTERIZACION A 3.1'!$B$218</c:f>
              <c:strCache>
                <c:ptCount val="1"/>
                <c:pt idx="0">
                  <c:v>Suma de TOTAL</c:v>
                </c:pt>
              </c:strCache>
            </c:strRef>
          </c:tx>
          <c:dPt>
            <c:idx val="0"/>
            <c:bubble3D val="0"/>
            <c:spPr>
              <a:solidFill>
                <a:schemeClr val="accent1"/>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1-5D48-41EC-A861-E67B67E4AB9D}"/>
              </c:ext>
            </c:extLst>
          </c:dPt>
          <c:dPt>
            <c:idx val="1"/>
            <c:bubble3D val="0"/>
            <c:spPr>
              <a:solidFill>
                <a:schemeClr val="accent2"/>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3-5D48-41EC-A861-E67B67E4AB9D}"/>
              </c:ext>
            </c:extLst>
          </c:dPt>
          <c:dPt>
            <c:idx val="2"/>
            <c:bubble3D val="0"/>
            <c:spPr>
              <a:solidFill>
                <a:schemeClr val="accent3"/>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5-5D48-41EC-A861-E67B67E4AB9D}"/>
              </c:ext>
            </c:extLst>
          </c:dPt>
          <c:dPt>
            <c:idx val="3"/>
            <c:bubble3D val="0"/>
            <c:spPr>
              <a:solidFill>
                <a:schemeClr val="accent4"/>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7-5D48-41EC-A861-E67B67E4AB9D}"/>
              </c:ext>
            </c:extLst>
          </c:dPt>
          <c:dPt>
            <c:idx val="4"/>
            <c:bubble3D val="0"/>
            <c:spPr>
              <a:solidFill>
                <a:schemeClr val="accent5"/>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9-5D48-41EC-A861-E67B67E4AB9D}"/>
              </c:ext>
            </c:extLst>
          </c:dPt>
          <c:dPt>
            <c:idx val="5"/>
            <c:bubble3D val="0"/>
            <c:spPr>
              <a:solidFill>
                <a:schemeClr val="accent6"/>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B-5D48-41EC-A861-E67B67E4AB9D}"/>
              </c:ext>
            </c:extLst>
          </c:dPt>
          <c:dPt>
            <c:idx val="6"/>
            <c:bubble3D val="0"/>
            <c:spPr>
              <a:solidFill>
                <a:schemeClr val="accent1">
                  <a:lumMod val="6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D-5D48-41EC-A861-E67B67E4AB9D}"/>
              </c:ext>
            </c:extLst>
          </c:dPt>
          <c:dPt>
            <c:idx val="7"/>
            <c:bubble3D val="0"/>
            <c:spPr>
              <a:solidFill>
                <a:schemeClr val="accent2">
                  <a:lumMod val="6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F-5D48-41EC-A861-E67B67E4AB9D}"/>
              </c:ext>
            </c:extLst>
          </c:dPt>
          <c:dPt>
            <c:idx val="8"/>
            <c:bubble3D val="0"/>
            <c:spPr>
              <a:solidFill>
                <a:schemeClr val="accent3">
                  <a:lumMod val="6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11-5D48-41EC-A861-E67B67E4AB9D}"/>
              </c:ext>
            </c:extLst>
          </c:dPt>
          <c:dPt>
            <c:idx val="9"/>
            <c:bubble3D val="0"/>
            <c:spPr>
              <a:solidFill>
                <a:schemeClr val="accent4">
                  <a:lumMod val="6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13-5D48-41EC-A861-E67B67E4AB9D}"/>
              </c:ext>
            </c:extLst>
          </c:dPt>
          <c:dPt>
            <c:idx val="10"/>
            <c:bubble3D val="0"/>
            <c:spPr>
              <a:solidFill>
                <a:schemeClr val="accent5">
                  <a:lumMod val="6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15-5D48-41EC-A861-E67B67E4AB9D}"/>
              </c:ext>
            </c:extLst>
          </c:dPt>
          <c:dPt>
            <c:idx val="11"/>
            <c:bubble3D val="0"/>
            <c:spPr>
              <a:solidFill>
                <a:schemeClr val="accent6">
                  <a:lumMod val="6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17-5D48-41EC-A861-E67B67E4AB9D}"/>
              </c:ext>
            </c:extLst>
          </c:dPt>
          <c:dPt>
            <c:idx val="12"/>
            <c:bubble3D val="0"/>
            <c:spPr>
              <a:solidFill>
                <a:schemeClr val="accent1">
                  <a:lumMod val="80000"/>
                  <a:lumOff val="2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19-5D48-41EC-A861-E67B67E4AB9D}"/>
              </c:ext>
            </c:extLst>
          </c:dPt>
          <c:dPt>
            <c:idx val="13"/>
            <c:bubble3D val="0"/>
            <c:spPr>
              <a:solidFill>
                <a:schemeClr val="accent2">
                  <a:lumMod val="80000"/>
                  <a:lumOff val="2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1B-5D48-41EC-A861-E67B67E4AB9D}"/>
              </c:ext>
            </c:extLst>
          </c:dPt>
          <c:dPt>
            <c:idx val="14"/>
            <c:bubble3D val="0"/>
            <c:spPr>
              <a:solidFill>
                <a:schemeClr val="accent3">
                  <a:lumMod val="80000"/>
                  <a:lumOff val="2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1D-5D48-41EC-A861-E67B67E4AB9D}"/>
              </c:ext>
            </c:extLst>
          </c:dPt>
          <c:dPt>
            <c:idx val="15"/>
            <c:bubble3D val="0"/>
            <c:spPr>
              <a:solidFill>
                <a:schemeClr val="accent4">
                  <a:lumMod val="80000"/>
                  <a:lumOff val="2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1F-5D48-41EC-A861-E67B67E4AB9D}"/>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S"/>
              </a:p>
            </c:txPr>
            <c:dLblPos val="inEnd"/>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15:layout/>
              </c:ext>
            </c:extLst>
          </c:dLbls>
          <c:cat>
            <c:strRef>
              <c:f>'FICHA DE CARACTERIZACION A 3.1'!$A$219:$A$235</c:f>
              <c:strCache>
                <c:ptCount val="16"/>
                <c:pt idx="0">
                  <c:v>* Plásticos de un solo uso (SUP) [iii]</c:v>
                </c:pt>
                <c:pt idx="1">
                  <c:v>ACEITE</c:v>
                </c:pt>
                <c:pt idx="2">
                  <c:v>Baterias</c:v>
                </c:pt>
                <c:pt idx="3">
                  <c:v>Biorresiduos</c:v>
                </c:pt>
                <c:pt idx="4">
                  <c:v>Brik</c:v>
                </c:pt>
                <c:pt idx="5">
                  <c:v>Madera</c:v>
                </c:pt>
                <c:pt idx="6">
                  <c:v>Metales férricos</c:v>
                </c:pt>
                <c:pt idx="7">
                  <c:v>Metales no férricos</c:v>
                </c:pt>
                <c:pt idx="8">
                  <c:v>Otros</c:v>
                </c:pt>
                <c:pt idx="9">
                  <c:v>Papel – cartón</c:v>
                </c:pt>
                <c:pt idx="10">
                  <c:v>Plásticos (excepto SUP*)</c:v>
                </c:pt>
                <c:pt idx="11">
                  <c:v>RAEE [iv]</c:v>
                </c:pt>
                <c:pt idx="12">
                  <c:v>Textiles</c:v>
                </c:pt>
                <c:pt idx="13">
                  <c:v>Textiles sanitarios</c:v>
                </c:pt>
                <c:pt idx="14">
                  <c:v>Tierras y RCDs</c:v>
                </c:pt>
                <c:pt idx="15">
                  <c:v>Vidrio </c:v>
                </c:pt>
              </c:strCache>
            </c:strRef>
          </c:cat>
          <c:val>
            <c:numRef>
              <c:f>'FICHA DE CARACTERIZACION A 3.1'!$B$219:$B$235</c:f>
              <c:numCache>
                <c:formatCode>General</c:formatCode>
                <c:ptCount val="16"/>
                <c:pt idx="0">
                  <c:v>1473.0000000000002</c:v>
                </c:pt>
                <c:pt idx="1">
                  <c:v>324.60000000000002</c:v>
                </c:pt>
                <c:pt idx="2">
                  <c:v>664.2</c:v>
                </c:pt>
                <c:pt idx="3">
                  <c:v>2188.2000000000003</c:v>
                </c:pt>
                <c:pt idx="4">
                  <c:v>213.60000000000002</c:v>
                </c:pt>
                <c:pt idx="5">
                  <c:v>472.2</c:v>
                </c:pt>
                <c:pt idx="6">
                  <c:v>448.2</c:v>
                </c:pt>
                <c:pt idx="7">
                  <c:v>460.2</c:v>
                </c:pt>
                <c:pt idx="8">
                  <c:v>2136.6000000000004</c:v>
                </c:pt>
                <c:pt idx="9">
                  <c:v>648.40000000000009</c:v>
                </c:pt>
                <c:pt idx="10">
                  <c:v>4209.5999999999976</c:v>
                </c:pt>
                <c:pt idx="11">
                  <c:v>327.60000000000002</c:v>
                </c:pt>
                <c:pt idx="12">
                  <c:v>336.6</c:v>
                </c:pt>
                <c:pt idx="13">
                  <c:v>339.6</c:v>
                </c:pt>
                <c:pt idx="14">
                  <c:v>688.2</c:v>
                </c:pt>
                <c:pt idx="15">
                  <c:v>436.2</c:v>
                </c:pt>
              </c:numCache>
            </c:numRef>
          </c:val>
          <c:extLst>
            <c:ext xmlns:c16="http://schemas.microsoft.com/office/drawing/2014/chart" uri="{C3380CC4-5D6E-409C-BE32-E72D297353CC}">
              <c16:uniqueId val="{00000000-9FF1-43A5-9927-A2C02994A8E5}"/>
            </c:ext>
          </c:extLst>
        </c:ser>
        <c:ser>
          <c:idx val="1"/>
          <c:order val="1"/>
          <c:tx>
            <c:strRef>
              <c:f>'FICHA DE CARACTERIZACION A 3.1'!$C$218</c:f>
              <c:strCache>
                <c:ptCount val="1"/>
                <c:pt idx="0">
                  <c:v>Suma de %</c:v>
                </c:pt>
              </c:strCache>
            </c:strRef>
          </c:tx>
          <c:dPt>
            <c:idx val="0"/>
            <c:bubble3D val="0"/>
            <c:spPr>
              <a:solidFill>
                <a:schemeClr val="accent1"/>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21-5D48-41EC-A861-E67B67E4AB9D}"/>
              </c:ext>
            </c:extLst>
          </c:dPt>
          <c:dPt>
            <c:idx val="1"/>
            <c:bubble3D val="0"/>
            <c:spPr>
              <a:solidFill>
                <a:schemeClr val="accent2"/>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23-5D48-41EC-A861-E67B67E4AB9D}"/>
              </c:ext>
            </c:extLst>
          </c:dPt>
          <c:dPt>
            <c:idx val="2"/>
            <c:bubble3D val="0"/>
            <c:spPr>
              <a:solidFill>
                <a:schemeClr val="accent3"/>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25-5D48-41EC-A861-E67B67E4AB9D}"/>
              </c:ext>
            </c:extLst>
          </c:dPt>
          <c:dPt>
            <c:idx val="3"/>
            <c:bubble3D val="0"/>
            <c:spPr>
              <a:solidFill>
                <a:schemeClr val="accent4"/>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27-5D48-41EC-A861-E67B67E4AB9D}"/>
              </c:ext>
            </c:extLst>
          </c:dPt>
          <c:dPt>
            <c:idx val="4"/>
            <c:bubble3D val="0"/>
            <c:spPr>
              <a:solidFill>
                <a:schemeClr val="accent5"/>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29-5D48-41EC-A861-E67B67E4AB9D}"/>
              </c:ext>
            </c:extLst>
          </c:dPt>
          <c:dPt>
            <c:idx val="5"/>
            <c:bubble3D val="0"/>
            <c:spPr>
              <a:solidFill>
                <a:schemeClr val="accent6"/>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2B-5D48-41EC-A861-E67B67E4AB9D}"/>
              </c:ext>
            </c:extLst>
          </c:dPt>
          <c:dPt>
            <c:idx val="6"/>
            <c:bubble3D val="0"/>
            <c:spPr>
              <a:solidFill>
                <a:schemeClr val="accent1">
                  <a:lumMod val="6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2D-5D48-41EC-A861-E67B67E4AB9D}"/>
              </c:ext>
            </c:extLst>
          </c:dPt>
          <c:dPt>
            <c:idx val="7"/>
            <c:bubble3D val="0"/>
            <c:spPr>
              <a:solidFill>
                <a:schemeClr val="accent2">
                  <a:lumMod val="6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2F-5D48-41EC-A861-E67B67E4AB9D}"/>
              </c:ext>
            </c:extLst>
          </c:dPt>
          <c:dPt>
            <c:idx val="8"/>
            <c:bubble3D val="0"/>
            <c:spPr>
              <a:solidFill>
                <a:schemeClr val="accent3">
                  <a:lumMod val="6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31-5D48-41EC-A861-E67B67E4AB9D}"/>
              </c:ext>
            </c:extLst>
          </c:dPt>
          <c:dPt>
            <c:idx val="9"/>
            <c:bubble3D val="0"/>
            <c:spPr>
              <a:solidFill>
                <a:schemeClr val="accent4">
                  <a:lumMod val="6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33-5D48-41EC-A861-E67B67E4AB9D}"/>
              </c:ext>
            </c:extLst>
          </c:dPt>
          <c:dPt>
            <c:idx val="10"/>
            <c:bubble3D val="0"/>
            <c:spPr>
              <a:solidFill>
                <a:schemeClr val="accent5">
                  <a:lumMod val="6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35-5D48-41EC-A861-E67B67E4AB9D}"/>
              </c:ext>
            </c:extLst>
          </c:dPt>
          <c:dPt>
            <c:idx val="11"/>
            <c:bubble3D val="0"/>
            <c:spPr>
              <a:solidFill>
                <a:schemeClr val="accent6">
                  <a:lumMod val="6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37-5D48-41EC-A861-E67B67E4AB9D}"/>
              </c:ext>
            </c:extLst>
          </c:dPt>
          <c:dPt>
            <c:idx val="12"/>
            <c:bubble3D val="0"/>
            <c:spPr>
              <a:solidFill>
                <a:schemeClr val="accent1">
                  <a:lumMod val="80000"/>
                  <a:lumOff val="2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39-5D48-41EC-A861-E67B67E4AB9D}"/>
              </c:ext>
            </c:extLst>
          </c:dPt>
          <c:dPt>
            <c:idx val="13"/>
            <c:bubble3D val="0"/>
            <c:spPr>
              <a:solidFill>
                <a:schemeClr val="accent2">
                  <a:lumMod val="80000"/>
                  <a:lumOff val="2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3B-5D48-41EC-A861-E67B67E4AB9D}"/>
              </c:ext>
            </c:extLst>
          </c:dPt>
          <c:dPt>
            <c:idx val="14"/>
            <c:bubble3D val="0"/>
            <c:spPr>
              <a:solidFill>
                <a:schemeClr val="accent3">
                  <a:lumMod val="80000"/>
                  <a:lumOff val="2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3D-5D48-41EC-A861-E67B67E4AB9D}"/>
              </c:ext>
            </c:extLst>
          </c:dPt>
          <c:dPt>
            <c:idx val="15"/>
            <c:bubble3D val="0"/>
            <c:spPr>
              <a:solidFill>
                <a:schemeClr val="accent4">
                  <a:lumMod val="80000"/>
                  <a:lumOff val="2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3F-5D48-41EC-A861-E67B67E4AB9D}"/>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S"/>
              </a:p>
            </c:txPr>
            <c:dLblPos val="inEnd"/>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Ref>
              <c:f>'FICHA DE CARACTERIZACION A 3.1'!$A$219:$A$235</c:f>
              <c:strCache>
                <c:ptCount val="16"/>
                <c:pt idx="0">
                  <c:v>* Plásticos de un solo uso (SUP) [iii]</c:v>
                </c:pt>
                <c:pt idx="1">
                  <c:v>ACEITE</c:v>
                </c:pt>
                <c:pt idx="2">
                  <c:v>Baterias</c:v>
                </c:pt>
                <c:pt idx="3">
                  <c:v>Biorresiduos</c:v>
                </c:pt>
                <c:pt idx="4">
                  <c:v>Brik</c:v>
                </c:pt>
                <c:pt idx="5">
                  <c:v>Madera</c:v>
                </c:pt>
                <c:pt idx="6">
                  <c:v>Metales férricos</c:v>
                </c:pt>
                <c:pt idx="7">
                  <c:v>Metales no férricos</c:v>
                </c:pt>
                <c:pt idx="8">
                  <c:v>Otros</c:v>
                </c:pt>
                <c:pt idx="9">
                  <c:v>Papel – cartón</c:v>
                </c:pt>
                <c:pt idx="10">
                  <c:v>Plásticos (excepto SUP*)</c:v>
                </c:pt>
                <c:pt idx="11">
                  <c:v>RAEE [iv]</c:v>
                </c:pt>
                <c:pt idx="12">
                  <c:v>Textiles</c:v>
                </c:pt>
                <c:pt idx="13">
                  <c:v>Textiles sanitarios</c:v>
                </c:pt>
                <c:pt idx="14">
                  <c:v>Tierras y RCDs</c:v>
                </c:pt>
                <c:pt idx="15">
                  <c:v>Vidrio </c:v>
                </c:pt>
              </c:strCache>
            </c:strRef>
          </c:cat>
          <c:val>
            <c:numRef>
              <c:f>'FICHA DE CARACTERIZACION A 3.1'!$C$219:$C$235</c:f>
              <c:numCache>
                <c:formatCode>0%</c:formatCode>
                <c:ptCount val="16"/>
                <c:pt idx="0">
                  <c:v>9.5854753692978301E-2</c:v>
                </c:pt>
                <c:pt idx="1">
                  <c:v>2.1123186048024954E-2</c:v>
                </c:pt>
                <c:pt idx="2">
                  <c:v>4.3222489750764558E-2</c:v>
                </c:pt>
                <c:pt idx="3">
                  <c:v>0.14239604346977267</c:v>
                </c:pt>
                <c:pt idx="4">
                  <c:v>1.3899915403136572E-2</c:v>
                </c:pt>
                <c:pt idx="5">
                  <c:v>3.0728183770417077E-2</c:v>
                </c:pt>
                <c:pt idx="6">
                  <c:v>2.9166395522873645E-2</c:v>
                </c:pt>
                <c:pt idx="7">
                  <c:v>2.9947289646645364E-2</c:v>
                </c:pt>
                <c:pt idx="8">
                  <c:v>0.1390381987375543</c:v>
                </c:pt>
                <c:pt idx="9">
                  <c:v>4.2194312487798466E-2</c:v>
                </c:pt>
                <c:pt idx="10">
                  <c:v>0.27393765861911845</c:v>
                </c:pt>
                <c:pt idx="11">
                  <c:v>2.1318409578967884E-2</c:v>
                </c:pt>
                <c:pt idx="12">
                  <c:v>2.1904080171796673E-2</c:v>
                </c:pt>
                <c:pt idx="13">
                  <c:v>2.2099303702739603E-2</c:v>
                </c:pt>
                <c:pt idx="14">
                  <c:v>4.4784277998307989E-2</c:v>
                </c:pt>
                <c:pt idx="15">
                  <c:v>2.8385501399101926E-2</c:v>
                </c:pt>
              </c:numCache>
            </c:numRef>
          </c:val>
          <c:extLst>
            <c:ext xmlns:c16="http://schemas.microsoft.com/office/drawing/2014/chart" uri="{C3380CC4-5D6E-409C-BE32-E72D297353CC}">
              <c16:uniqueId val="{00000001-9FF1-43A5-9927-A2C02994A8E5}"/>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57728904209902532"/>
          <c:y val="6.435338325633147E-2"/>
          <c:w val="0.4017043304290796"/>
          <c:h val="0.89831360967838614"/>
        </c:manualLayout>
      </c:layout>
      <c:overlay val="0"/>
      <c:spPr>
        <a:solidFill>
          <a:schemeClr val="lt1">
            <a:alpha val="78000"/>
          </a:schemeClr>
        </a:solid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1"/>
    <c:dispBlanksAs val="gap"/>
    <c:showDLblsOverMax val="0"/>
  </c:chart>
  <c:spPr>
    <a:pattFill prst="dkDnDiag">
      <a:fgClr>
        <a:schemeClr val="lt1">
          <a:lumMod val="95000"/>
        </a:schemeClr>
      </a:fgClr>
      <a:bgClr>
        <a:schemeClr val="lt1"/>
      </a:bgClr>
    </a:patt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[20230523 ficha con propios e impropios.xlsx]FICHA DE CARACTERIZACION A 3.1!TablaDinámica1</c:name>
    <c:fmtId val="0"/>
  </c:pivotSource>
  <c:chart>
    <c:title>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65000"/>
                  <a:lumOff val="35000"/>
                </a:schemeClr>
              </a:solidFill>
              <a:latin typeface="+mn-lt"/>
              <a:ea typeface="+mn-ea"/>
              <a:cs typeface="+mn-cs"/>
            </a:defRPr>
          </a:pPr>
          <a:endParaRPr lang="es-ES"/>
        </a:p>
      </c:txPr>
    </c:title>
    <c:autoTitleDeleted val="0"/>
    <c:pivotFmts>
      <c:pivotFmt>
        <c:idx val="0"/>
      </c:pivotFmt>
      <c:pivotFmt>
        <c:idx val="1"/>
      </c:pivotFmt>
      <c:pivotFmt>
        <c:idx val="2"/>
        <c:spPr>
          <a:solidFill>
            <a:schemeClr val="accent1"/>
          </a:solidFill>
          <a:ln>
            <a:noFill/>
          </a:ln>
          <a:effectLst>
            <a:outerShdw blurRad="317500" algn="ctr" rotWithShape="0">
              <a:prstClr val="black">
                <a:alpha val="25000"/>
              </a:prstClr>
            </a:outerShdw>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S"/>
            </a:p>
          </c:txPr>
          <c:dLblPos val="inEnd"/>
          <c:showLegendKey val="0"/>
          <c:showVal val="0"/>
          <c:showCatName val="0"/>
          <c:showSerName val="0"/>
          <c:showPercent val="1"/>
          <c:showBubbleSize val="0"/>
          <c:extLst>
            <c:ext xmlns:c15="http://schemas.microsoft.com/office/drawing/2012/chart" uri="{CE6537A1-D6FC-4f65-9D91-7224C49458BB}">
              <c15:layout/>
            </c:ext>
          </c:extLst>
        </c:dLbl>
      </c:pivotFmt>
      <c:pivotFmt>
        <c:idx val="3"/>
        <c:spPr>
          <a:solidFill>
            <a:schemeClr val="accent1"/>
          </a:solidFill>
          <a:ln>
            <a:noFill/>
          </a:ln>
          <a:effectLst>
            <a:outerShdw blurRad="317500" algn="ctr" rotWithShape="0">
              <a:prstClr val="black">
                <a:alpha val="25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S"/>
            </a:p>
          </c:txPr>
          <c:dLblPos val="inEnd"/>
          <c:showLegendKey val="0"/>
          <c:showVal val="0"/>
          <c:showCatName val="0"/>
          <c:showSerName val="0"/>
          <c:showPercent val="1"/>
          <c:showBubbleSize val="0"/>
          <c:extLst>
            <c:ext xmlns:c15="http://schemas.microsoft.com/office/drawing/2012/chart" uri="{CE6537A1-D6FC-4f65-9D91-7224C49458BB}"/>
          </c:extLst>
        </c:dLbl>
      </c:pivotFmt>
      <c:pivotFmt>
        <c:idx val="4"/>
        <c:spPr>
          <a:solidFill>
            <a:schemeClr val="accent1"/>
          </a:solidFill>
          <a:ln>
            <a:noFill/>
          </a:ln>
          <a:effectLst>
            <a:outerShdw blurRad="317500" algn="ctr" rotWithShape="0">
              <a:prstClr val="black">
                <a:alpha val="25000"/>
              </a:prstClr>
            </a:outerShdw>
          </a:effectLst>
        </c:spPr>
      </c:pivotFmt>
      <c:pivotFmt>
        <c:idx val="5"/>
        <c:spPr>
          <a:solidFill>
            <a:schemeClr val="accent1"/>
          </a:solidFill>
          <a:ln>
            <a:noFill/>
          </a:ln>
          <a:effectLst>
            <a:outerShdw blurRad="317500" algn="ctr" rotWithShape="0">
              <a:prstClr val="black">
                <a:alpha val="25000"/>
              </a:prstClr>
            </a:outerShdw>
          </a:effectLst>
        </c:spPr>
      </c:pivotFmt>
      <c:pivotFmt>
        <c:idx val="6"/>
        <c:spPr>
          <a:solidFill>
            <a:schemeClr val="accent1"/>
          </a:solidFill>
          <a:ln>
            <a:noFill/>
          </a:ln>
          <a:effectLst>
            <a:outerShdw blurRad="317500" algn="ctr" rotWithShape="0">
              <a:prstClr val="black">
                <a:alpha val="25000"/>
              </a:prstClr>
            </a:outerShdw>
          </a:effectLst>
        </c:spPr>
      </c:pivotFmt>
      <c:pivotFmt>
        <c:idx val="7"/>
        <c:spPr>
          <a:solidFill>
            <a:schemeClr val="accent1"/>
          </a:solidFill>
          <a:ln>
            <a:noFill/>
          </a:ln>
          <a:effectLst>
            <a:outerShdw blurRad="317500" algn="ctr" rotWithShape="0">
              <a:prstClr val="black">
                <a:alpha val="25000"/>
              </a:prstClr>
            </a:outerShdw>
          </a:effectLst>
        </c:spPr>
      </c:pivotFmt>
      <c:pivotFmt>
        <c:idx val="8"/>
        <c:spPr>
          <a:solidFill>
            <a:schemeClr val="accent1"/>
          </a:solidFill>
          <a:ln>
            <a:noFill/>
          </a:ln>
          <a:effectLst>
            <a:outerShdw blurRad="317500" algn="ctr" rotWithShape="0">
              <a:prstClr val="black">
                <a:alpha val="25000"/>
              </a:prstClr>
            </a:outerShdw>
          </a:effectLst>
        </c:spPr>
      </c:pivotFmt>
      <c:pivotFmt>
        <c:idx val="9"/>
        <c:spPr>
          <a:solidFill>
            <a:schemeClr val="accent1"/>
          </a:solidFill>
          <a:ln>
            <a:noFill/>
          </a:ln>
          <a:effectLst>
            <a:outerShdw blurRad="317500" algn="ctr" rotWithShape="0">
              <a:prstClr val="black">
                <a:alpha val="25000"/>
              </a:prstClr>
            </a:outerShdw>
          </a:effectLst>
        </c:spPr>
      </c:pivotFmt>
    </c:pivotFmts>
    <c:plotArea>
      <c:layout/>
      <c:pieChart>
        <c:varyColors val="1"/>
        <c:ser>
          <c:idx val="0"/>
          <c:order val="0"/>
          <c:tx>
            <c:strRef>
              <c:f>'FICHA DE CARACTERIZACION A 3.1'!$B$185</c:f>
              <c:strCache>
                <c:ptCount val="1"/>
                <c:pt idx="0">
                  <c:v>Suma de TOTAL</c:v>
                </c:pt>
              </c:strCache>
            </c:strRef>
          </c:tx>
          <c:dPt>
            <c:idx val="0"/>
            <c:bubble3D val="0"/>
            <c:spPr>
              <a:solidFill>
                <a:schemeClr val="accent1"/>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1-3C3E-4737-9B92-80CE5B5D8B74}"/>
              </c:ext>
            </c:extLst>
          </c:dPt>
          <c:dPt>
            <c:idx val="1"/>
            <c:bubble3D val="0"/>
            <c:spPr>
              <a:solidFill>
                <a:schemeClr val="accent2"/>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3-3C3E-4737-9B92-80CE5B5D8B74}"/>
              </c:ext>
            </c:extLst>
          </c:dPt>
          <c:dPt>
            <c:idx val="2"/>
            <c:bubble3D val="0"/>
            <c:spPr>
              <a:solidFill>
                <a:schemeClr val="accent3"/>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5-3C3E-4737-9B92-80CE5B5D8B74}"/>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S"/>
              </a:p>
            </c:txPr>
            <c:dLblPos val="inEnd"/>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15:layout/>
              </c:ext>
            </c:extLst>
          </c:dLbls>
          <c:cat>
            <c:strRef>
              <c:f>'FICHA DE CARACTERIZACION A 3.1'!$A$186:$A$189</c:f>
              <c:strCache>
                <c:ptCount val="3"/>
                <c:pt idx="0">
                  <c:v>COMERCIALES</c:v>
                </c:pt>
                <c:pt idx="1">
                  <c:v>DOMÉSTICOS</c:v>
                </c:pt>
                <c:pt idx="2">
                  <c:v>INDUSTRIALES / AGRICOLAS</c:v>
                </c:pt>
              </c:strCache>
            </c:strRef>
          </c:cat>
          <c:val>
            <c:numRef>
              <c:f>'FICHA DE CARACTERIZACION A 3.1'!$B$186:$B$189</c:f>
              <c:numCache>
                <c:formatCode>General</c:formatCode>
                <c:ptCount val="3"/>
                <c:pt idx="0">
                  <c:v>5113.7999999999956</c:v>
                </c:pt>
                <c:pt idx="1">
                  <c:v>2223.4000000000005</c:v>
                </c:pt>
                <c:pt idx="2">
                  <c:v>8029.7999999999938</c:v>
                </c:pt>
              </c:numCache>
            </c:numRef>
          </c:val>
          <c:extLst>
            <c:ext xmlns:c16="http://schemas.microsoft.com/office/drawing/2014/chart" uri="{C3380CC4-5D6E-409C-BE32-E72D297353CC}">
              <c16:uniqueId val="{00000000-DDE0-4378-9CA2-61BDD1F5D37C}"/>
            </c:ext>
          </c:extLst>
        </c:ser>
        <c:ser>
          <c:idx val="1"/>
          <c:order val="1"/>
          <c:tx>
            <c:strRef>
              <c:f>'FICHA DE CARACTERIZACION A 3.1'!$C$185</c:f>
              <c:strCache>
                <c:ptCount val="1"/>
                <c:pt idx="0">
                  <c:v>Suma de %</c:v>
                </c:pt>
              </c:strCache>
            </c:strRef>
          </c:tx>
          <c:dPt>
            <c:idx val="0"/>
            <c:bubble3D val="0"/>
            <c:spPr>
              <a:solidFill>
                <a:schemeClr val="accent1"/>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7-3C3E-4737-9B92-80CE5B5D8B74}"/>
              </c:ext>
            </c:extLst>
          </c:dPt>
          <c:dPt>
            <c:idx val="1"/>
            <c:bubble3D val="0"/>
            <c:spPr>
              <a:solidFill>
                <a:schemeClr val="accent2"/>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9-3C3E-4737-9B92-80CE5B5D8B74}"/>
              </c:ext>
            </c:extLst>
          </c:dPt>
          <c:dPt>
            <c:idx val="2"/>
            <c:bubble3D val="0"/>
            <c:spPr>
              <a:solidFill>
                <a:schemeClr val="accent3"/>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B-3C3E-4737-9B92-80CE5B5D8B74}"/>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S"/>
              </a:p>
            </c:txPr>
            <c:dLblPos val="inEnd"/>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Ref>
              <c:f>'FICHA DE CARACTERIZACION A 3.1'!$A$186:$A$189</c:f>
              <c:strCache>
                <c:ptCount val="3"/>
                <c:pt idx="0">
                  <c:v>COMERCIALES</c:v>
                </c:pt>
                <c:pt idx="1">
                  <c:v>DOMÉSTICOS</c:v>
                </c:pt>
                <c:pt idx="2">
                  <c:v>INDUSTRIALES / AGRICOLAS</c:v>
                </c:pt>
              </c:strCache>
            </c:strRef>
          </c:cat>
          <c:val>
            <c:numRef>
              <c:f>'FICHA DE CARACTERIZACION A 3.1'!$C$186:$C$189</c:f>
              <c:numCache>
                <c:formatCode>0%</c:formatCode>
                <c:ptCount val="3"/>
                <c:pt idx="0">
                  <c:v>0.33277803084531737</c:v>
                </c:pt>
                <c:pt idx="1">
                  <c:v>0.14468666623283633</c:v>
                </c:pt>
                <c:pt idx="2">
                  <c:v>0.52253530292184469</c:v>
                </c:pt>
              </c:numCache>
            </c:numRef>
          </c:val>
          <c:extLst>
            <c:ext xmlns:c16="http://schemas.microsoft.com/office/drawing/2014/chart" uri="{C3380CC4-5D6E-409C-BE32-E72D297353CC}">
              <c16:uniqueId val="{00000001-DDE0-4378-9CA2-61BDD1F5D37C}"/>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r"/>
      <c:layout/>
      <c:overlay val="0"/>
      <c:spPr>
        <a:solidFill>
          <a:schemeClr val="lt1">
            <a:alpha val="78000"/>
          </a:schemeClr>
        </a:solid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1"/>
    <c:dispBlanksAs val="gap"/>
    <c:showDLblsOverMax val="0"/>
  </c:chart>
  <c:spPr>
    <a:pattFill prst="dkDnDiag">
      <a:fgClr>
        <a:schemeClr val="lt1">
          <a:lumMod val="95000"/>
        </a:schemeClr>
      </a:fgClr>
      <a:bgClr>
        <a:schemeClr val="lt1"/>
      </a:bgClr>
    </a:patt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1">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defRPr sz="900" kern="1200"/>
  </cs:categoryAxis>
  <cs:chartArea>
    <cs:lnRef idx="0"/>
    <cs:fillRef idx="0"/>
    <cs:effectRef idx="0"/>
    <cs:fontRef idx="minor">
      <a:schemeClr val="dk1"/>
    </cs:fontRef>
    <cs:spPr>
      <a:pattFill prst="dkDnDiag">
        <a:fgClr>
          <a:schemeClr val="lt1">
            <a:lumMod val="95000"/>
          </a:schemeClr>
        </a:fgClr>
        <a:bgClr>
          <a:schemeClr val="lt1"/>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317500" algn="ctr" rotWithShape="0">
          <a:prstClr val="black">
            <a:alpha val="25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20000"/>
          </a:prstClr>
        </a:outerShdw>
      </a:effectLst>
      <a:scene3d>
        <a:camera prst="orthographicFront"/>
        <a:lightRig rig="threePt" dir="t"/>
      </a:scene3d>
      <a:sp3d prstMaterial="matte"/>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noFill/>
      <a:ln w="9525" cap="flat" cmpd="sng" algn="ctr">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65000"/>
            <a:lumOff val="35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65000"/>
            <a:lumOff val="35000"/>
          </a:schemeClr>
        </a:solidFill>
        <a:round/>
      </a:ln>
    </cs:spPr>
  </cs:errorBar>
  <cs:floor>
    <cs:lnRef idx="0"/>
    <cs:fillRef idx="0"/>
    <cs:effectRef idx="0"/>
    <cs:fontRef idx="minor">
      <a:schemeClr val="dk1"/>
    </cs:fontRef>
    <cs:spPr>
      <a:noFill/>
      <a:ln>
        <a:noFill/>
      </a:ln>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50000"/>
            <a:lumOff val="50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78000"/>
        </a:schemeClr>
      </a:solidFill>
    </cs:spPr>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inor">
      <a:schemeClr val="dk1">
        <a:lumMod val="65000"/>
        <a:lumOff val="35000"/>
      </a:schemeClr>
    </cs:fontRef>
    <cs:defRPr sz="1800" b="1" kern="120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65000"/>
            <a:lumOff val="35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61">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defRPr sz="900" kern="1200"/>
  </cs:categoryAxis>
  <cs:chartArea>
    <cs:lnRef idx="0"/>
    <cs:fillRef idx="0"/>
    <cs:effectRef idx="0"/>
    <cs:fontRef idx="minor">
      <a:schemeClr val="dk1"/>
    </cs:fontRef>
    <cs:spPr>
      <a:pattFill prst="dkDnDiag">
        <a:fgClr>
          <a:schemeClr val="lt1">
            <a:lumMod val="95000"/>
          </a:schemeClr>
        </a:fgClr>
        <a:bgClr>
          <a:schemeClr val="lt1"/>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317500" algn="ctr" rotWithShape="0">
          <a:prstClr val="black">
            <a:alpha val="25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20000"/>
          </a:prstClr>
        </a:outerShdw>
      </a:effectLst>
      <a:scene3d>
        <a:camera prst="orthographicFront"/>
        <a:lightRig rig="threePt" dir="t"/>
      </a:scene3d>
      <a:sp3d prstMaterial="matte"/>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noFill/>
      <a:ln w="9525" cap="flat" cmpd="sng" algn="ctr">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65000"/>
            <a:lumOff val="35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65000"/>
            <a:lumOff val="35000"/>
          </a:schemeClr>
        </a:solidFill>
        <a:round/>
      </a:ln>
    </cs:spPr>
  </cs:errorBar>
  <cs:floor>
    <cs:lnRef idx="0"/>
    <cs:fillRef idx="0"/>
    <cs:effectRef idx="0"/>
    <cs:fontRef idx="minor">
      <a:schemeClr val="dk1"/>
    </cs:fontRef>
    <cs:spPr>
      <a:noFill/>
      <a:ln>
        <a:noFill/>
      </a:ln>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50000"/>
            <a:lumOff val="50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78000"/>
        </a:schemeClr>
      </a:solidFill>
    </cs:spPr>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inor">
      <a:schemeClr val="dk1">
        <a:lumMod val="65000"/>
        <a:lumOff val="35000"/>
      </a:schemeClr>
    </cs:fontRef>
    <cs:defRPr sz="1800" b="1" kern="120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65000"/>
            <a:lumOff val="35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61">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defRPr sz="900" kern="1200"/>
  </cs:categoryAxis>
  <cs:chartArea>
    <cs:lnRef idx="0"/>
    <cs:fillRef idx="0"/>
    <cs:effectRef idx="0"/>
    <cs:fontRef idx="minor">
      <a:schemeClr val="dk1"/>
    </cs:fontRef>
    <cs:spPr>
      <a:pattFill prst="dkDnDiag">
        <a:fgClr>
          <a:schemeClr val="lt1">
            <a:lumMod val="95000"/>
          </a:schemeClr>
        </a:fgClr>
        <a:bgClr>
          <a:schemeClr val="lt1"/>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317500" algn="ctr" rotWithShape="0">
          <a:prstClr val="black">
            <a:alpha val="25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20000"/>
          </a:prstClr>
        </a:outerShdw>
      </a:effectLst>
      <a:scene3d>
        <a:camera prst="orthographicFront"/>
        <a:lightRig rig="threePt" dir="t"/>
      </a:scene3d>
      <a:sp3d prstMaterial="matte"/>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noFill/>
      <a:ln w="9525" cap="flat" cmpd="sng" algn="ctr">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65000"/>
            <a:lumOff val="35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65000"/>
            <a:lumOff val="35000"/>
          </a:schemeClr>
        </a:solidFill>
        <a:round/>
      </a:ln>
    </cs:spPr>
  </cs:errorBar>
  <cs:floor>
    <cs:lnRef idx="0"/>
    <cs:fillRef idx="0"/>
    <cs:effectRef idx="0"/>
    <cs:fontRef idx="minor">
      <a:schemeClr val="dk1"/>
    </cs:fontRef>
    <cs:spPr>
      <a:noFill/>
      <a:ln>
        <a:noFill/>
      </a:ln>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50000"/>
            <a:lumOff val="50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78000"/>
        </a:schemeClr>
      </a:solidFill>
    </cs:spPr>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inor">
      <a:schemeClr val="dk1">
        <a:lumMod val="65000"/>
        <a:lumOff val="35000"/>
      </a:schemeClr>
    </cs:fontRef>
    <cs:defRPr sz="1800" b="1" kern="120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65000"/>
            <a:lumOff val="35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559593</xdr:colOff>
      <xdr:row>196</xdr:row>
      <xdr:rowOff>164306</xdr:rowOff>
    </xdr:from>
    <xdr:to>
      <xdr:col>4</xdr:col>
      <xdr:colOff>2345531</xdr:colOff>
      <xdr:row>215</xdr:row>
      <xdr:rowOff>23812</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440530</xdr:colOff>
      <xdr:row>216</xdr:row>
      <xdr:rowOff>104773</xdr:rowOff>
    </xdr:from>
    <xdr:to>
      <xdr:col>5</xdr:col>
      <xdr:colOff>1535906</xdr:colOff>
      <xdr:row>240</xdr:row>
      <xdr:rowOff>23811</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583406</xdr:colOff>
      <xdr:row>178</xdr:row>
      <xdr:rowOff>69057</xdr:rowOff>
    </xdr:from>
    <xdr:to>
      <xdr:col>4</xdr:col>
      <xdr:colOff>2357437</xdr:colOff>
      <xdr:row>194</xdr:row>
      <xdr:rowOff>178594</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d039819" refreshedDate="45065.557828935183" createdVersion="6" refreshedVersion="6" minRefreshableVersion="3" recordCount="162">
  <cacheSource type="worksheet">
    <worksheetSource ref="A15:Q177" sheet="FICHA DE CARACTERIZACION A 3.1"/>
  </cacheSource>
  <cacheFields count="17">
    <cacheField name="ORIGEN" numFmtId="0">
      <sharedItems count="3">
        <s v="DOMÉSTICOS"/>
        <s v="COMERCIALES"/>
        <s v="INDUSTRIALES / AGRICOLAS"/>
      </sharedItems>
    </cacheField>
    <cacheField name="NIVEL 0" numFmtId="0">
      <sharedItems count="16">
        <s v="Papel – cartón"/>
        <s v="Brik"/>
        <s v="Vidrio "/>
        <s v="Metales férricos"/>
        <s v="Metales no férricos"/>
        <s v="Madera"/>
        <s v="Plásticos (excepto SUP*)"/>
        <s v="* Plásticos de un solo uso (SUP) [iii]"/>
        <s v="Biorresiduos"/>
        <s v="ACEITE"/>
        <s v="RAEE [iv]"/>
        <s v="Baterias"/>
        <s v="Textiles"/>
        <s v="Textiles sanitarios"/>
        <s v="Tierras y RCDs"/>
        <s v="Otros"/>
      </sharedItems>
    </cacheField>
    <cacheField name="NIVEL 1" numFmtId="0">
      <sharedItems containsBlank="1" count="37">
        <m/>
        <s v="Acero"/>
        <s v="Aluminio"/>
        <s v="PET "/>
        <s v="PEAD"/>
        <s v="PEBD"/>
        <s v="PVC"/>
        <s v="PP"/>
        <s v="PS (excepto EPS)"/>
        <s v="EPS"/>
        <s v="Otros Plásticos"/>
        <s v="Botellas para bebidas de hasta tres litros de capacidad, incluidos sus tapas y tapones"/>
        <s v="Productos de tabaco con filtro y fitros comercializados para utilizarse en combinación con productos del tabaco"/>
        <s v="Recipientes para alimentos"/>
        <s v="Vasos para bebidas (incluidas sus tapas y tapones)"/>
        <s v="Otros"/>
        <s v="Restos de alimentos no cocinados y restos derivados de la preparación de alimentos"/>
        <s v="Restos de alimentos cocinados"/>
        <s v="Celulosas: Papel de cocina, servilletas"/>
        <s v="Otros restos de cocina compostables: bolsas, corchos, palillos de madera y otros resto compostables (vasos de papel, etc.)"/>
        <s v="Derroche alimentario: alimentos caducados y en mal estado (a granel o en envases abiertos, el envase se separará en su fracción)"/>
        <s v="Restos vegetales (césped, hojas, flores, etc.)"/>
        <s v="Restos de poda (ramas, arbustos, etc.)"/>
        <s v="Aceite de cocina usados (contenidos en envases)"/>
        <s v="RAEE "/>
        <s v="Pilas y Acumuladores"/>
        <s v="Baterías de Vehículos"/>
        <s v="Textiles y piel"/>
        <s v="Textiles y celulósicos sanitarios"/>
        <s v="Tierras y Escombros"/>
        <s v="Restos de obras menores"/>
        <s v="Inclasificables mayores de 50 mm"/>
        <s v="Finos &lt; 50 mm (si &gt; 2kg*, se hará una analitica en laboratorio)"/>
        <s v="Cantidad de Producto en Envases (Sólido)"/>
        <s v="Cantidad de Producto en Envases (líquido-no aceite)"/>
        <s v="Caucho"/>
        <s v="Otros otros  (cuerdas multimaterial…)"/>
      </sharedItems>
    </cacheField>
    <cacheField name="NIVEL 2" numFmtId="0">
      <sharedItems containsBlank="1"/>
    </cacheField>
    <cacheField name="Residuo" numFmtId="0">
      <sharedItems/>
    </cacheField>
    <cacheField name="Detalle residuo" numFmtId="0">
      <sharedItems count="162">
        <s v="DOMÉSTICOS Papel – cartón  Papel y Cartón envase (Con Pto. Verde)"/>
        <s v="DOMÉSTICOS Papel – cartón  Papel y Cartón envase (Sin Pto. Verde)"/>
        <s v="DOMÉSTICOS Papel – cartón  Papel/Cartón No Envase"/>
        <s v="DOMÉSTICOS Brik  Envase"/>
        <s v="DOMÉSTICOS Vidrio   Envase"/>
        <s v="DOMÉSTICOS Vidrio   No envase"/>
        <s v="DOMÉSTICOS Metales férricos Acero Envase"/>
        <s v="DOMÉSTICOS Metales férricos Acero No envase"/>
        <s v="DOMÉSTICOS Metales no férricos Aluminio Envase"/>
        <s v="DOMÉSTICOS Metales no férricos Aluminio No envase"/>
        <s v="DOMÉSTICOS Madera  Envase"/>
        <s v="DOMÉSTICOS Madera  No envase"/>
        <s v="DOMÉSTICOS Plásticos (excepto SUP*) PET  Envase"/>
        <s v="DOMÉSTICOS Plásticos (excepto SUP*) PET  No envase"/>
        <s v="DOMÉSTICOS Plásticos (excepto SUP*) PEAD Envase"/>
        <s v="DOMÉSTICOS Plásticos (excepto SUP*) PEAD No envase"/>
        <s v="DOMÉSTICOS Plásticos (excepto SUP*) PEBD Envase"/>
        <s v="DOMÉSTICOS Plásticos (excepto SUP*) PEBD No envase"/>
        <s v="DOMÉSTICOS Plásticos (excepto SUP*) PVC Envase"/>
        <s v="DOMÉSTICOS Plásticos (excepto SUP*) PVC No envase"/>
        <s v="DOMÉSTICOS Plásticos (excepto SUP*) PP Envase"/>
        <s v="DOMÉSTICOS Plásticos (excepto SUP*) PP No envase"/>
        <s v="DOMÉSTICOS Plásticos (excepto SUP*) PS (excepto EPS) Envase"/>
        <s v="DOMÉSTICOS Plásticos (excepto SUP*) PS (excepto EPS) No envase"/>
        <s v="DOMÉSTICOS Plásticos (excepto SUP*) EPS Envase"/>
        <s v="DOMÉSTICOS Plásticos (excepto SUP*) EPS No envase"/>
        <s v="DOMÉSTICOS Plásticos (excepto SUP*) Otros Plásticos Envase"/>
        <s v="DOMÉSTICOS Plásticos (excepto SUP*) Otros Plásticos No envase"/>
        <s v="DOMÉSTICOS * Plásticos de un solo uso (SUP) [iii] Botellas para bebidas de hasta tres litros de capacidad, incluidos sus tapas y tapones "/>
        <s v="DOMÉSTICOS * Plásticos de un solo uso (SUP) [iii] Productos de tabaco con filtro y fitros comercializados para utilizarse en combinación con productos del tabaco "/>
        <s v="DOMÉSTICOS * Plásticos de un solo uso (SUP) [iii] Recipientes para alimentos "/>
        <s v="DOMÉSTICOS * Plásticos de un solo uso (SUP) [iii] Vasos para bebidas (incluidas sus tapas y tapones) "/>
        <s v="DOMÉSTICOS * Plásticos de un solo uso (SUP) [iii] Otros "/>
        <s v="DOMÉSTICOS Biorresiduos Restos de alimentos no cocinados y restos derivados de la preparación de alimentos "/>
        <s v="DOMÉSTICOS Biorresiduos Restos de alimentos cocinados "/>
        <s v="DOMÉSTICOS Biorresiduos Celulosas: Papel de cocina, servilletas "/>
        <s v="DOMÉSTICOS Biorresiduos Otros restos de cocina compostables: bolsas, corchos, palillos de madera y otros resto compostables (vasos de papel, etc.) "/>
        <s v="DOMÉSTICOS Biorresiduos Derroche alimentario: alimentos caducados y en mal estado (a granel o en envases abiertos, el envase se separará en su fracción) "/>
        <s v="DOMÉSTICOS Biorresiduos Restos vegetales (césped, hojas, flores, etc.) "/>
        <s v="DOMÉSTICOS Biorresiduos Restos de poda (ramas, arbustos, etc.) "/>
        <s v="DOMÉSTICOS ACEITE Aceite de cocina usados (contenidos en envases) "/>
        <s v="DOMÉSTICOS RAEE [iv] RAEE  "/>
        <s v="DOMÉSTICOS Baterias Pilas y Acumuladores "/>
        <s v="DOMÉSTICOS Baterias Baterías de Vehículos "/>
        <s v="DOMÉSTICOS Textiles Textiles y piel "/>
        <s v="DOMÉSTICOS Textiles sanitarios Textiles y celulósicos sanitarios "/>
        <s v="DOMÉSTICOS Tierras y RCDs Tierras y Escombros "/>
        <s v="DOMÉSTICOS Tierras y RCDs Restos de obras menores "/>
        <s v="DOMÉSTICOS Otros Inclasificables mayores de 50 mm "/>
        <s v="DOMÉSTICOS Otros Finos &lt; 50 mm (si &gt; 2kg*, se hará una analitica en laboratorio) "/>
        <s v="DOMÉSTICOS Otros Cantidad de Producto en Envases (Sólido) "/>
        <s v="DOMÉSTICOS Otros Cantidad de Producto en Envases (líquido-no aceite) "/>
        <s v="DOMÉSTICOS Otros Caucho "/>
        <s v="DOMÉSTICOS Otros Otros otros  (cuerdas multimaterial…) "/>
        <s v="COMERCIALES Papel – cartón  Papel y Cartón envase (Con Pto. Verde)"/>
        <s v="COMERCIALES Papel – cartón  Papel y Cartón envase (Sin Pto. Verde)"/>
        <s v="COMERCIALES Papel – cartón  Papel/Cartón No Envase"/>
        <s v="COMERCIALES Brik  Envase"/>
        <s v="COMERCIALES Vidrio   Envase"/>
        <s v="COMERCIALES Vidrio   No envase"/>
        <s v="COMERCIALES Metales férricos Acero Envase"/>
        <s v="COMERCIALES Metales férricos Acero No envase"/>
        <s v="COMERCIALES Metales no férricos Aluminio Envase"/>
        <s v="COMERCIALES Metales no férricos Aluminio No envase"/>
        <s v="COMERCIALES Madera  Envase"/>
        <s v="COMERCIALES Madera  No envase"/>
        <s v="COMERCIALES Plásticos (excepto SUP*) PET  Envase"/>
        <s v="COMERCIALES Plásticos (excepto SUP*) PET  No envase"/>
        <s v="COMERCIALES Plásticos (excepto SUP*) PEAD Envase"/>
        <s v="COMERCIALES Plásticos (excepto SUP*) PEAD No envase"/>
        <s v="COMERCIALES Plásticos (excepto SUP*) PEBD Envase"/>
        <s v="COMERCIALES Plásticos (excepto SUP*) PEBD No envase"/>
        <s v="COMERCIALES Plásticos (excepto SUP*) PVC Envase"/>
        <s v="COMERCIALES Plásticos (excepto SUP*) PVC No envase"/>
        <s v="COMERCIALES Plásticos (excepto SUP*) PP Envase"/>
        <s v="COMERCIALES Plásticos (excepto SUP*) PP No envase"/>
        <s v="COMERCIALES Plásticos (excepto SUP*) PS (excepto EPS) Envase"/>
        <s v="COMERCIALES Plásticos (excepto SUP*) PS (excepto EPS) No envase"/>
        <s v="COMERCIALES Plásticos (excepto SUP*) EPS Envase"/>
        <s v="COMERCIALES Plásticos (excepto SUP*) EPS No envase"/>
        <s v="COMERCIALES Plásticos (excepto SUP*) Otros Plásticos Envase"/>
        <s v="COMERCIALES Plásticos (excepto SUP*) Otros Plásticos No envase"/>
        <s v="COMERCIALES * Plásticos de un solo uso (SUP) [iii] Botellas para bebidas de hasta tres litros de capacidad, incluidos sus tapas y tapones "/>
        <s v="COMERCIALES * Plásticos de un solo uso (SUP) [iii] Productos de tabaco con filtro y fitros comercializados para utilizarse en combinación con productos del tabaco "/>
        <s v="COMERCIALES * Plásticos de un solo uso (SUP) [iii] Recipientes para alimentos "/>
        <s v="COMERCIALES * Plásticos de un solo uso (SUP) [iii] Vasos para bebidas (incluidas sus tapas y tapones) "/>
        <s v="COMERCIALES * Plásticos de un solo uso (SUP) [iii] Otros "/>
        <s v="COMERCIALES Biorresiduos Restos de alimentos no cocinados y restos derivados de la preparación de alimentos "/>
        <s v="COMERCIALES Biorresiduos Restos de alimentos cocinados "/>
        <s v="COMERCIALES Biorresiduos Celulosas: Papel de cocina, servilletas "/>
        <s v="COMERCIALES Biorresiduos Otros restos de cocina compostables: bolsas, corchos, palillos de madera y otros resto compostables (vasos de papel, etc.) "/>
        <s v="COMERCIALES Biorresiduos Derroche alimentario: alimentos caducados y en mal estado (a granel o en envases abiertos, el envase se separará en su fracción) "/>
        <s v="COMERCIALES Biorresiduos Restos vegetales (césped, hojas, flores, etc.) "/>
        <s v="COMERCIALES Biorresiduos Restos de poda (ramas, arbustos, etc.) "/>
        <s v="COMERCIALES ACEITE Aceite de cocina usados (contenidos en envases) "/>
        <s v="COMERCIALES RAEE [iv] RAEE  "/>
        <s v="COMERCIALES Baterias Pilas y Acumuladores "/>
        <s v="COMERCIALES Baterias Baterías de Vehículos "/>
        <s v="COMERCIALES Textiles Textiles y piel "/>
        <s v="COMERCIALES Textiles sanitarios Textiles y celulósicos sanitarios "/>
        <s v="COMERCIALES Tierras y RCDs Tierras y Escombros "/>
        <s v="COMERCIALES Tierras y RCDs Restos de obras menores "/>
        <s v="COMERCIALES Otros Inclasificables mayores de 50 mm "/>
        <s v="COMERCIALES Otros Finos &lt; 50 mm (si &gt; 2kg*, se hará una analitica en laboratorio) "/>
        <s v="COMERCIALES Otros Cantidad de Producto en Envases (Sólido) "/>
        <s v="COMERCIALES Otros Cantidad de Producto en Envases (líquido-no aceite) "/>
        <s v="COMERCIALES Otros Caucho "/>
        <s v="COMERCIALES Otros Otros otros  (cuerdas multimaterial…) "/>
        <s v="INDUSTRIALES / AGRICOLAS Papel – cartón  Papel y Cartón envase (Con Pto. Verde)"/>
        <s v="INDUSTRIALES / AGRICOLAS Papel – cartón  Papel y Cartón envase (Sin Pto. Verde)"/>
        <s v="INDUSTRIALES / AGRICOLAS Papel – cartón  Papel/Cartón No Envase"/>
        <s v="INDUSTRIALES / AGRICOLAS Brik  Envase"/>
        <s v="INDUSTRIALES / AGRICOLAS Vidrio   Envase"/>
        <s v="INDUSTRIALES / AGRICOLAS Vidrio   No envase"/>
        <s v="INDUSTRIALES / AGRICOLAS Metales férricos Acero Envase"/>
        <s v="INDUSTRIALES / AGRICOLAS Metales férricos Acero No envase"/>
        <s v="INDUSTRIALES / AGRICOLAS Metales no férricos Aluminio Envase"/>
        <s v="INDUSTRIALES / AGRICOLAS Metales no férricos Aluminio No envase"/>
        <s v="INDUSTRIALES / AGRICOLAS Madera  Envase"/>
        <s v="INDUSTRIALES / AGRICOLAS Madera  No envase"/>
        <s v="INDUSTRIALES / AGRICOLAS Plásticos (excepto SUP*) PET  Envase"/>
        <s v="INDUSTRIALES / AGRICOLAS Plásticos (excepto SUP*) PET  No envase"/>
        <s v="INDUSTRIALES / AGRICOLAS Plásticos (excepto SUP*) PEAD Envase"/>
        <s v="INDUSTRIALES / AGRICOLAS Plásticos (excepto SUP*) PEAD No envase"/>
        <s v="INDUSTRIALES / AGRICOLAS Plásticos (excepto SUP*) PEBD Envase"/>
        <s v="INDUSTRIALES / AGRICOLAS Plásticos (excepto SUP*) PEBD No envase"/>
        <s v="INDUSTRIALES / AGRICOLAS Plásticos (excepto SUP*) PVC Envase"/>
        <s v="INDUSTRIALES / AGRICOLAS Plásticos (excepto SUP*) PVC No envase"/>
        <s v="INDUSTRIALES / AGRICOLAS Plásticos (excepto SUP*) PP Envase"/>
        <s v="INDUSTRIALES / AGRICOLAS Plásticos (excepto SUP*) PP No envase"/>
        <s v="INDUSTRIALES / AGRICOLAS Plásticos (excepto SUP*) PS (excepto EPS) Envase"/>
        <s v="INDUSTRIALES / AGRICOLAS Plásticos (excepto SUP*) PS (excepto EPS) No envase"/>
        <s v="INDUSTRIALES / AGRICOLAS Plásticos (excepto SUP*) EPS Envase"/>
        <s v="INDUSTRIALES / AGRICOLAS Plásticos (excepto SUP*) EPS No envase"/>
        <s v="INDUSTRIALES / AGRICOLAS Plásticos (excepto SUP*) Otros Plásticos Envase"/>
        <s v="INDUSTRIALES / AGRICOLAS Plásticos (excepto SUP*) Otros Plásticos No envase"/>
        <s v="INDUSTRIALES / AGRICOLAS * Plásticos de un solo uso (SUP) [iii] Botellas para bebidas de hasta tres litros de capacidad, incluidos sus tapas y tapones "/>
        <s v="INDUSTRIALES / AGRICOLAS * Plásticos de un solo uso (SUP) [iii] Productos de tabaco con filtro y fitros comercializados para utilizarse en combinación con productos del tabaco "/>
        <s v="INDUSTRIALES / AGRICOLAS * Plásticos de un solo uso (SUP) [iii] Recipientes para alimentos "/>
        <s v="INDUSTRIALES / AGRICOLAS * Plásticos de un solo uso (SUP) [iii] Vasos para bebidas (incluidas sus tapas y tapones) "/>
        <s v="INDUSTRIALES / AGRICOLAS * Plásticos de un solo uso (SUP) [iii] Otros "/>
        <s v="INDUSTRIALES / AGRICOLAS Biorresiduos Restos de alimentos no cocinados y restos derivados de la preparación de alimentos "/>
        <s v="INDUSTRIALES / AGRICOLAS Biorresiduos Restos de alimentos cocinados "/>
        <s v="INDUSTRIALES / AGRICOLAS Biorresiduos Celulosas: Papel de cocina, servilletas "/>
        <s v="INDUSTRIALES / AGRICOLAS Biorresiduos Otros restos de cocina compostables: bolsas, corchos, palillos de madera y otros resto compostables (vasos de papel, etc.) "/>
        <s v="INDUSTRIALES / AGRICOLAS Biorresiduos Derroche alimentario: alimentos caducados y en mal estado (a granel o en envases abiertos, el envase se separará en su fracción) "/>
        <s v="INDUSTRIALES / AGRICOLAS Biorresiduos Restos vegetales (césped, hojas, flores, etc.) "/>
        <s v="INDUSTRIALES / AGRICOLAS Biorresiduos Restos de poda (ramas, arbustos, etc.) "/>
        <s v="INDUSTRIALES / AGRICOLAS ACEITE Aceite de cocina usados (contenidos en envases) "/>
        <s v="INDUSTRIALES / AGRICOLAS RAEE [iv] RAEE  "/>
        <s v="INDUSTRIALES / AGRICOLAS Baterias Pilas y Acumuladores "/>
        <s v="INDUSTRIALES / AGRICOLAS Baterias Baterías de Vehículos "/>
        <s v="INDUSTRIALES / AGRICOLAS Textiles Textiles y piel "/>
        <s v="INDUSTRIALES / AGRICOLAS Textiles sanitarios Textiles y celulósicos sanitarios "/>
        <s v="INDUSTRIALES / AGRICOLAS Tierras y RCDs Tierras y Escombros "/>
        <s v="INDUSTRIALES / AGRICOLAS Tierras y RCDs Restos de obras menores "/>
        <s v="INDUSTRIALES / AGRICOLAS Otros Inclasificables mayores de 50 mm "/>
        <s v="INDUSTRIALES / AGRICOLAS Otros Finos &lt; 50 mm (si &gt; 2kg*, se hará una analitica en laboratorio) "/>
        <s v="INDUSTRIALES / AGRICOLAS Otros Cantidad de Producto en Envases (Sólido) "/>
        <s v="INDUSTRIALES / AGRICOLAS Otros Cantidad de Producto en Envases (líquido-no aceite) "/>
        <s v="INDUSTRIALES / AGRICOLAS Otros Caucho "/>
        <s v="INDUSTRIALES / AGRICOLAS Otros Otros otros  (cuerdas multimaterial…) "/>
      </sharedItems>
    </cacheField>
    <cacheField name="TARA" numFmtId="0">
      <sharedItems containsSemiMixedTypes="0" containsString="0" containsNumber="1" containsInteger="1" minValue="1" maxValue="1"/>
    </cacheField>
    <cacheField name="PESADA 1" numFmtId="0">
      <sharedItems containsSemiMixedTypes="0" containsString="0" containsNumber="1" minValue="15.2" maxValue="176.2"/>
    </cacheField>
    <cacheField name="PESADA 2" numFmtId="0">
      <sharedItems containsString="0" containsBlank="1" containsNumber="1" minValue="2" maxValue="25.6"/>
    </cacheField>
    <cacheField name="PESADA 3" numFmtId="0">
      <sharedItems containsString="0" containsBlank="1" containsNumber="1" containsInteger="1" minValue="1" maxValue="1"/>
    </cacheField>
    <cacheField name="PESADA 4" numFmtId="0">
      <sharedItems containsNonDate="0" containsString="0" containsBlank="1"/>
    </cacheField>
    <cacheField name="PESADA 5" numFmtId="0">
      <sharedItems containsNonDate="0" containsString="0" containsBlank="1"/>
    </cacheField>
    <cacheField name="TOTAL" numFmtId="0">
      <sharedItems containsSemiMixedTypes="0" containsString="0" containsNumber="1" minValue="16.2" maxValue="175.2"/>
    </cacheField>
    <cacheField name="%" numFmtId="10">
      <sharedItems containsSemiMixedTypes="0" containsString="0" containsNumber="1" minValue="1.0542070670918184E-3" maxValue="1.1401054207067074E-2"/>
    </cacheField>
    <cacheField name="nº Pesadas" numFmtId="0">
      <sharedItems containsSemiMixedTypes="0" containsString="0" containsNumber="1" containsInteger="1" minValue="1" maxValue="3"/>
    </cacheField>
    <cacheField name="Observaciones" numFmtId="0">
      <sharedItems containsNonDate="0" containsString="0" containsBlank="1"/>
    </cacheField>
    <cacheField name="Solicitado/impropio" numFmtId="0">
      <sharedItems count="4">
        <s v="Impropio"/>
        <s v="Solicitado"/>
        <s v="si" u="1"/>
        <s v="no"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62">
  <r>
    <x v="0"/>
    <x v="0"/>
    <x v="0"/>
    <s v="Papel y Cartón envase (Con Pto. Verde)"/>
    <s v="DOMÉSTICOS Papel – cartón  Papel y Cartón envase (Con Pto. Verde)"/>
    <x v="0"/>
    <n v="1"/>
    <n v="15.2"/>
    <n v="25.6"/>
    <m/>
    <m/>
    <m/>
    <n v="38.799999999999997"/>
    <n v="2.5248910001952193E-3"/>
    <n v="2"/>
    <m/>
    <x v="0"/>
  </r>
  <r>
    <x v="0"/>
    <x v="0"/>
    <x v="0"/>
    <s v="Papel y Cartón envase (Sin Pto. Verde)"/>
    <s v="DOMÉSTICOS Papel – cartón  Papel y Cartón envase (Sin Pto. Verde)"/>
    <x v="1"/>
    <n v="1"/>
    <n v="16.2"/>
    <n v="2"/>
    <n v="1"/>
    <m/>
    <m/>
    <n v="16.2"/>
    <n v="1.0542070670918184E-3"/>
    <n v="3"/>
    <m/>
    <x v="0"/>
  </r>
  <r>
    <x v="0"/>
    <x v="0"/>
    <x v="0"/>
    <s v="Papel/Cartón No Envase"/>
    <s v="DOMÉSTICOS Papel – cartón  Papel/Cartón No Envase"/>
    <x v="2"/>
    <n v="1"/>
    <n v="17.2"/>
    <m/>
    <m/>
    <m/>
    <m/>
    <n v="16.2"/>
    <n v="1.0542070670918184E-3"/>
    <n v="1"/>
    <m/>
    <x v="0"/>
  </r>
  <r>
    <x v="0"/>
    <x v="1"/>
    <x v="0"/>
    <s v="Envase"/>
    <s v="DOMÉSTICOS Brik  Envase"/>
    <x v="3"/>
    <n v="1"/>
    <n v="18.2"/>
    <m/>
    <m/>
    <m/>
    <m/>
    <n v="17.2"/>
    <n v="1.1192815774061283E-3"/>
    <n v="1"/>
    <m/>
    <x v="0"/>
  </r>
  <r>
    <x v="0"/>
    <x v="2"/>
    <x v="0"/>
    <s v="Envase"/>
    <s v="DOMÉSTICOS Vidrio   Envase"/>
    <x v="4"/>
    <n v="1"/>
    <n v="19.2"/>
    <m/>
    <m/>
    <m/>
    <m/>
    <n v="18.2"/>
    <n v="1.184356087720438E-3"/>
    <n v="1"/>
    <m/>
    <x v="0"/>
  </r>
  <r>
    <x v="0"/>
    <x v="2"/>
    <x v="0"/>
    <s v="No envase"/>
    <s v="DOMÉSTICOS Vidrio   No envase"/>
    <x v="5"/>
    <n v="1"/>
    <n v="20.2"/>
    <m/>
    <m/>
    <m/>
    <m/>
    <n v="19.2"/>
    <n v="1.2494305980347477E-3"/>
    <n v="1"/>
    <m/>
    <x v="0"/>
  </r>
  <r>
    <x v="0"/>
    <x v="3"/>
    <x v="1"/>
    <s v="Envase"/>
    <s v="DOMÉSTICOS Metales férricos Acero Envase"/>
    <x v="6"/>
    <n v="1"/>
    <n v="21.2"/>
    <m/>
    <m/>
    <m/>
    <m/>
    <n v="20.2"/>
    <n v="1.3145051083490577E-3"/>
    <n v="1"/>
    <m/>
    <x v="0"/>
  </r>
  <r>
    <x v="0"/>
    <x v="3"/>
    <x v="1"/>
    <s v="No envase"/>
    <s v="DOMÉSTICOS Metales férricos Acero No envase"/>
    <x v="7"/>
    <n v="1"/>
    <n v="22.2"/>
    <m/>
    <m/>
    <m/>
    <m/>
    <n v="21.2"/>
    <n v="1.3795796186633674E-3"/>
    <n v="1"/>
    <m/>
    <x v="1"/>
  </r>
  <r>
    <x v="0"/>
    <x v="4"/>
    <x v="2"/>
    <s v="Envase"/>
    <s v="DOMÉSTICOS Metales no férricos Aluminio Envase"/>
    <x v="8"/>
    <n v="1"/>
    <n v="23.2"/>
    <m/>
    <m/>
    <m/>
    <m/>
    <n v="22.2"/>
    <n v="1.4446541289776771E-3"/>
    <n v="1"/>
    <m/>
    <x v="0"/>
  </r>
  <r>
    <x v="0"/>
    <x v="4"/>
    <x v="2"/>
    <s v="No envase"/>
    <s v="DOMÉSTICOS Metales no férricos Aluminio No envase"/>
    <x v="9"/>
    <n v="1"/>
    <n v="24.2"/>
    <m/>
    <m/>
    <m/>
    <m/>
    <n v="23.2"/>
    <n v="1.5097286392919869E-3"/>
    <n v="1"/>
    <m/>
    <x v="1"/>
  </r>
  <r>
    <x v="0"/>
    <x v="5"/>
    <x v="0"/>
    <s v="Envase"/>
    <s v="DOMÉSTICOS Madera  Envase"/>
    <x v="10"/>
    <n v="1"/>
    <n v="25.2"/>
    <m/>
    <m/>
    <m/>
    <m/>
    <n v="24.2"/>
    <n v="1.5748031496062968E-3"/>
    <n v="1"/>
    <m/>
    <x v="0"/>
  </r>
  <r>
    <x v="0"/>
    <x v="5"/>
    <x v="0"/>
    <s v="No envase"/>
    <s v="DOMÉSTICOS Madera  No envase"/>
    <x v="11"/>
    <n v="1"/>
    <n v="26.2"/>
    <m/>
    <m/>
    <m/>
    <m/>
    <n v="25.2"/>
    <n v="1.6398776599206065E-3"/>
    <n v="1"/>
    <m/>
    <x v="1"/>
  </r>
  <r>
    <x v="0"/>
    <x v="6"/>
    <x v="3"/>
    <s v="Envase"/>
    <s v="DOMÉSTICOS Plásticos (excepto SUP*) PET  Envase"/>
    <x v="12"/>
    <n v="1"/>
    <n v="27.2"/>
    <m/>
    <m/>
    <m/>
    <m/>
    <n v="26.2"/>
    <n v="1.7049521702349163E-3"/>
    <n v="1"/>
    <m/>
    <x v="0"/>
  </r>
  <r>
    <x v="0"/>
    <x v="6"/>
    <x v="3"/>
    <s v="No envase"/>
    <s v="DOMÉSTICOS Plásticos (excepto SUP*) PET  No envase"/>
    <x v="13"/>
    <n v="1"/>
    <n v="28.2"/>
    <m/>
    <m/>
    <m/>
    <m/>
    <n v="27.2"/>
    <n v="1.7700266805492262E-3"/>
    <n v="1"/>
    <m/>
    <x v="1"/>
  </r>
  <r>
    <x v="0"/>
    <x v="6"/>
    <x v="4"/>
    <s v="Envase"/>
    <s v="DOMÉSTICOS Plásticos (excepto SUP*) PEAD Envase"/>
    <x v="14"/>
    <n v="1"/>
    <n v="29.2"/>
    <m/>
    <m/>
    <m/>
    <m/>
    <n v="28.2"/>
    <n v="1.8351011908635359E-3"/>
    <n v="1"/>
    <m/>
    <x v="0"/>
  </r>
  <r>
    <x v="0"/>
    <x v="6"/>
    <x v="4"/>
    <s v="No envase"/>
    <s v="DOMÉSTICOS Plásticos (excepto SUP*) PEAD No envase"/>
    <x v="15"/>
    <n v="1"/>
    <n v="30.2"/>
    <m/>
    <m/>
    <m/>
    <m/>
    <n v="29.2"/>
    <n v="1.9001757011778456E-3"/>
    <n v="1"/>
    <m/>
    <x v="1"/>
  </r>
  <r>
    <x v="0"/>
    <x v="6"/>
    <x v="5"/>
    <s v="Envase"/>
    <s v="DOMÉSTICOS Plásticos (excepto SUP*) PEBD Envase"/>
    <x v="16"/>
    <n v="1"/>
    <n v="31.2"/>
    <m/>
    <m/>
    <m/>
    <m/>
    <n v="30.2"/>
    <n v="1.9652502114921554E-3"/>
    <n v="1"/>
    <m/>
    <x v="0"/>
  </r>
  <r>
    <x v="0"/>
    <x v="6"/>
    <x v="5"/>
    <s v="No envase"/>
    <s v="DOMÉSTICOS Plásticos (excepto SUP*) PEBD No envase"/>
    <x v="17"/>
    <n v="1"/>
    <n v="32.200000000000003"/>
    <m/>
    <m/>
    <m/>
    <m/>
    <n v="31.200000000000003"/>
    <n v="2.0303247218064653E-3"/>
    <n v="1"/>
    <m/>
    <x v="1"/>
  </r>
  <r>
    <x v="0"/>
    <x v="6"/>
    <x v="6"/>
    <s v="Envase"/>
    <s v="DOMÉSTICOS Plásticos (excepto SUP*) PVC Envase"/>
    <x v="18"/>
    <n v="1"/>
    <n v="33.200000000000003"/>
    <m/>
    <m/>
    <m/>
    <m/>
    <n v="32.200000000000003"/>
    <n v="2.0953992321207753E-3"/>
    <n v="1"/>
    <m/>
    <x v="0"/>
  </r>
  <r>
    <x v="0"/>
    <x v="6"/>
    <x v="6"/>
    <s v="No envase"/>
    <s v="DOMÉSTICOS Plásticos (excepto SUP*) PVC No envase"/>
    <x v="19"/>
    <n v="1"/>
    <n v="34.200000000000003"/>
    <m/>
    <m/>
    <m/>
    <m/>
    <n v="33.200000000000003"/>
    <n v="2.1604737424350852E-3"/>
    <n v="1"/>
    <m/>
    <x v="1"/>
  </r>
  <r>
    <x v="0"/>
    <x v="6"/>
    <x v="7"/>
    <s v="Envase"/>
    <s v="DOMÉSTICOS Plásticos (excepto SUP*) PP Envase"/>
    <x v="20"/>
    <n v="1"/>
    <n v="35.200000000000003"/>
    <m/>
    <m/>
    <m/>
    <m/>
    <n v="34.200000000000003"/>
    <n v="2.2255482527493947E-3"/>
    <n v="1"/>
    <m/>
    <x v="0"/>
  </r>
  <r>
    <x v="0"/>
    <x v="6"/>
    <x v="7"/>
    <s v="No envase"/>
    <s v="DOMÉSTICOS Plásticos (excepto SUP*) PP No envase"/>
    <x v="21"/>
    <n v="1"/>
    <n v="36.200000000000003"/>
    <m/>
    <m/>
    <m/>
    <m/>
    <n v="35.200000000000003"/>
    <n v="2.2906227630637046E-3"/>
    <n v="1"/>
    <m/>
    <x v="1"/>
  </r>
  <r>
    <x v="0"/>
    <x v="6"/>
    <x v="8"/>
    <s v="Envase"/>
    <s v="DOMÉSTICOS Plásticos (excepto SUP*) PS (excepto EPS) Envase"/>
    <x v="22"/>
    <n v="1"/>
    <n v="37.200000000000003"/>
    <m/>
    <m/>
    <m/>
    <m/>
    <n v="36.200000000000003"/>
    <n v="2.3556972733780146E-3"/>
    <n v="1"/>
    <m/>
    <x v="0"/>
  </r>
  <r>
    <x v="0"/>
    <x v="6"/>
    <x v="8"/>
    <s v="No envase"/>
    <s v="DOMÉSTICOS Plásticos (excepto SUP*) PS (excepto EPS) No envase"/>
    <x v="23"/>
    <n v="1"/>
    <n v="38.200000000000003"/>
    <m/>
    <m/>
    <m/>
    <m/>
    <n v="37.200000000000003"/>
    <n v="2.4207717836923241E-3"/>
    <n v="1"/>
    <m/>
    <x v="1"/>
  </r>
  <r>
    <x v="0"/>
    <x v="6"/>
    <x v="9"/>
    <s v="Envase"/>
    <s v="DOMÉSTICOS Plásticos (excepto SUP*) EPS Envase"/>
    <x v="24"/>
    <n v="1"/>
    <n v="39.200000000000003"/>
    <m/>
    <m/>
    <m/>
    <m/>
    <n v="38.200000000000003"/>
    <n v="2.485846294006634E-3"/>
    <n v="1"/>
    <m/>
    <x v="0"/>
  </r>
  <r>
    <x v="0"/>
    <x v="6"/>
    <x v="9"/>
    <s v="No envase"/>
    <s v="DOMÉSTICOS Plásticos (excepto SUP*) EPS No envase"/>
    <x v="25"/>
    <n v="1"/>
    <n v="40.200000000000003"/>
    <m/>
    <m/>
    <m/>
    <m/>
    <n v="39.200000000000003"/>
    <n v="2.5509208043209435E-3"/>
    <n v="1"/>
    <m/>
    <x v="1"/>
  </r>
  <r>
    <x v="0"/>
    <x v="6"/>
    <x v="10"/>
    <s v="Envase"/>
    <s v="DOMÉSTICOS Plásticos (excepto SUP*) Otros Plásticos Envase"/>
    <x v="26"/>
    <n v="1"/>
    <n v="41.2"/>
    <m/>
    <m/>
    <m/>
    <m/>
    <n v="40.200000000000003"/>
    <n v="2.6159953146352535E-3"/>
    <n v="1"/>
    <m/>
    <x v="0"/>
  </r>
  <r>
    <x v="0"/>
    <x v="6"/>
    <x v="10"/>
    <s v="No envase"/>
    <s v="DOMÉSTICOS Plásticos (excepto SUP*) Otros Plásticos No envase"/>
    <x v="27"/>
    <n v="1"/>
    <n v="42.2"/>
    <m/>
    <m/>
    <m/>
    <m/>
    <n v="41.2"/>
    <n v="2.6810698249495634E-3"/>
    <n v="1"/>
    <m/>
    <x v="1"/>
  </r>
  <r>
    <x v="0"/>
    <x v="7"/>
    <x v="11"/>
    <m/>
    <s v="DOMÉSTICOS * Plásticos de un solo uso (SUP) [iii] Botellas para bebidas de hasta tres litros de capacidad, incluidos sus tapas y tapones "/>
    <x v="28"/>
    <n v="1"/>
    <n v="43.2"/>
    <m/>
    <m/>
    <m/>
    <m/>
    <n v="42.2"/>
    <n v="2.7461443352638729E-3"/>
    <n v="1"/>
    <m/>
    <x v="0"/>
  </r>
  <r>
    <x v="0"/>
    <x v="7"/>
    <x v="12"/>
    <m/>
    <s v="DOMÉSTICOS * Plásticos de un solo uso (SUP) [iii] Productos de tabaco con filtro y fitros comercializados para utilizarse en combinación con productos del tabaco "/>
    <x v="29"/>
    <n v="1"/>
    <n v="44.2"/>
    <m/>
    <m/>
    <m/>
    <m/>
    <n v="43.2"/>
    <n v="2.8112188455781829E-3"/>
    <n v="1"/>
    <m/>
    <x v="1"/>
  </r>
  <r>
    <x v="0"/>
    <x v="7"/>
    <x v="13"/>
    <m/>
    <s v="DOMÉSTICOS * Plásticos de un solo uso (SUP) [iii] Recipientes para alimentos "/>
    <x v="30"/>
    <n v="1"/>
    <n v="45.2"/>
    <m/>
    <m/>
    <m/>
    <m/>
    <n v="44.2"/>
    <n v="2.8762933558924928E-3"/>
    <n v="1"/>
    <m/>
    <x v="0"/>
  </r>
  <r>
    <x v="0"/>
    <x v="7"/>
    <x v="14"/>
    <m/>
    <s v="DOMÉSTICOS * Plásticos de un solo uso (SUP) [iii] Vasos para bebidas (incluidas sus tapas y tapones) "/>
    <x v="31"/>
    <n v="1"/>
    <n v="46.2"/>
    <m/>
    <m/>
    <m/>
    <m/>
    <n v="45.2"/>
    <n v="2.9413678662068023E-3"/>
    <n v="1"/>
    <m/>
    <x v="0"/>
  </r>
  <r>
    <x v="0"/>
    <x v="7"/>
    <x v="15"/>
    <m/>
    <s v="DOMÉSTICOS * Plásticos de un solo uso (SUP) [iii] Otros "/>
    <x v="32"/>
    <n v="1"/>
    <n v="47.2"/>
    <m/>
    <m/>
    <m/>
    <m/>
    <n v="46.2"/>
    <n v="3.0064423765211123E-3"/>
    <n v="1"/>
    <m/>
    <x v="0"/>
  </r>
  <r>
    <x v="0"/>
    <x v="8"/>
    <x v="16"/>
    <m/>
    <s v="DOMÉSTICOS Biorresiduos Restos de alimentos no cocinados y restos derivados de la preparación de alimentos "/>
    <x v="33"/>
    <n v="1"/>
    <n v="48.2"/>
    <m/>
    <m/>
    <m/>
    <m/>
    <n v="47.2"/>
    <n v="3.0715168868354222E-3"/>
    <n v="1"/>
    <m/>
    <x v="0"/>
  </r>
  <r>
    <x v="0"/>
    <x v="8"/>
    <x v="17"/>
    <m/>
    <s v="DOMÉSTICOS Biorresiduos Restos de alimentos cocinados "/>
    <x v="34"/>
    <n v="1"/>
    <n v="49.2"/>
    <m/>
    <m/>
    <m/>
    <m/>
    <n v="48.2"/>
    <n v="3.1365913971497317E-3"/>
    <n v="1"/>
    <m/>
    <x v="0"/>
  </r>
  <r>
    <x v="0"/>
    <x v="8"/>
    <x v="18"/>
    <m/>
    <s v="DOMÉSTICOS Biorresiduos Celulosas: Papel de cocina, servilletas "/>
    <x v="35"/>
    <n v="1"/>
    <n v="50.2"/>
    <m/>
    <m/>
    <m/>
    <m/>
    <n v="49.2"/>
    <n v="3.2016659074640417E-3"/>
    <n v="1"/>
    <m/>
    <x v="0"/>
  </r>
  <r>
    <x v="0"/>
    <x v="8"/>
    <x v="19"/>
    <m/>
    <s v="DOMÉSTICOS Biorresiduos Otros restos de cocina compostables: bolsas, corchos, palillos de madera y otros resto compostables (vasos de papel, etc.) "/>
    <x v="36"/>
    <n v="1"/>
    <n v="51.2"/>
    <m/>
    <m/>
    <m/>
    <m/>
    <n v="50.2"/>
    <n v="3.2667404177783516E-3"/>
    <n v="1"/>
    <m/>
    <x v="0"/>
  </r>
  <r>
    <x v="0"/>
    <x v="8"/>
    <x v="20"/>
    <m/>
    <s v="DOMÉSTICOS Biorresiduos Derroche alimentario: alimentos caducados y en mal estado (a granel o en envases abiertos, el envase se separará en su fracción) "/>
    <x v="37"/>
    <n v="1"/>
    <n v="52.2"/>
    <m/>
    <m/>
    <m/>
    <m/>
    <n v="51.2"/>
    <n v="3.3318149280926611E-3"/>
    <n v="1"/>
    <m/>
    <x v="0"/>
  </r>
  <r>
    <x v="0"/>
    <x v="8"/>
    <x v="21"/>
    <m/>
    <s v="DOMÉSTICOS Biorresiduos Restos vegetales (césped, hojas, flores, etc.) "/>
    <x v="38"/>
    <n v="1"/>
    <n v="53.2"/>
    <m/>
    <m/>
    <m/>
    <m/>
    <n v="52.2"/>
    <n v="3.396889438406971E-3"/>
    <n v="1"/>
    <m/>
    <x v="0"/>
  </r>
  <r>
    <x v="0"/>
    <x v="8"/>
    <x v="22"/>
    <m/>
    <s v="DOMÉSTICOS Biorresiduos Restos de poda (ramas, arbustos, etc.) "/>
    <x v="39"/>
    <n v="1"/>
    <n v="54.2"/>
    <m/>
    <m/>
    <m/>
    <m/>
    <n v="53.2"/>
    <n v="3.4619639487212805E-3"/>
    <n v="1"/>
    <m/>
    <x v="0"/>
  </r>
  <r>
    <x v="0"/>
    <x v="9"/>
    <x v="23"/>
    <m/>
    <s v="DOMÉSTICOS ACEITE Aceite de cocina usados (contenidos en envases) "/>
    <x v="40"/>
    <n v="1"/>
    <n v="55.2"/>
    <m/>
    <m/>
    <m/>
    <m/>
    <n v="54.2"/>
    <n v="3.5270384590355905E-3"/>
    <n v="1"/>
    <m/>
    <x v="0"/>
  </r>
  <r>
    <x v="0"/>
    <x v="10"/>
    <x v="24"/>
    <m/>
    <s v="DOMÉSTICOS RAEE [iv] RAEE  "/>
    <x v="41"/>
    <n v="1"/>
    <n v="56.2"/>
    <m/>
    <m/>
    <m/>
    <m/>
    <n v="55.2"/>
    <n v="3.5921129693499004E-3"/>
    <n v="1"/>
    <m/>
    <x v="0"/>
  </r>
  <r>
    <x v="0"/>
    <x v="11"/>
    <x v="25"/>
    <m/>
    <s v="DOMÉSTICOS Baterias Pilas y Acumuladores "/>
    <x v="42"/>
    <n v="1"/>
    <n v="57.2"/>
    <m/>
    <m/>
    <m/>
    <m/>
    <n v="56.2"/>
    <n v="3.6571874796642099E-3"/>
    <n v="1"/>
    <m/>
    <x v="0"/>
  </r>
  <r>
    <x v="0"/>
    <x v="11"/>
    <x v="26"/>
    <m/>
    <s v="DOMÉSTICOS Baterias Baterías de Vehículos "/>
    <x v="43"/>
    <n v="1"/>
    <n v="58.2"/>
    <m/>
    <m/>
    <m/>
    <m/>
    <n v="57.2"/>
    <n v="3.7222619899785199E-3"/>
    <n v="1"/>
    <m/>
    <x v="0"/>
  </r>
  <r>
    <x v="0"/>
    <x v="12"/>
    <x v="27"/>
    <m/>
    <s v="DOMÉSTICOS Textiles Textiles y piel "/>
    <x v="44"/>
    <n v="1"/>
    <n v="59.2"/>
    <m/>
    <m/>
    <m/>
    <m/>
    <n v="58.2"/>
    <n v="3.7873365002928298E-3"/>
    <n v="1"/>
    <m/>
    <x v="0"/>
  </r>
  <r>
    <x v="0"/>
    <x v="13"/>
    <x v="28"/>
    <m/>
    <s v="DOMÉSTICOS Textiles sanitarios Textiles y celulósicos sanitarios "/>
    <x v="45"/>
    <n v="1"/>
    <n v="60.2"/>
    <m/>
    <m/>
    <m/>
    <m/>
    <n v="59.2"/>
    <n v="3.8524110106071393E-3"/>
    <n v="1"/>
    <m/>
    <x v="1"/>
  </r>
  <r>
    <x v="0"/>
    <x v="14"/>
    <x v="29"/>
    <m/>
    <s v="DOMÉSTICOS Tierras y RCDs Tierras y Escombros "/>
    <x v="46"/>
    <n v="1"/>
    <n v="61.2"/>
    <m/>
    <m/>
    <m/>
    <m/>
    <n v="60.2"/>
    <n v="3.9174855209214493E-3"/>
    <n v="1"/>
    <m/>
    <x v="0"/>
  </r>
  <r>
    <x v="0"/>
    <x v="14"/>
    <x v="30"/>
    <m/>
    <s v="DOMÉSTICOS Tierras y RCDs Restos de obras menores "/>
    <x v="47"/>
    <n v="1"/>
    <n v="62.2"/>
    <m/>
    <m/>
    <m/>
    <m/>
    <n v="61.2"/>
    <n v="3.9825600312357592E-3"/>
    <n v="1"/>
    <m/>
    <x v="0"/>
  </r>
  <r>
    <x v="0"/>
    <x v="15"/>
    <x v="31"/>
    <m/>
    <s v="DOMÉSTICOS Otros Inclasificables mayores de 50 mm "/>
    <x v="48"/>
    <n v="1"/>
    <n v="63.2"/>
    <m/>
    <m/>
    <m/>
    <m/>
    <n v="62.2"/>
    <n v="4.0476345415500692E-3"/>
    <n v="1"/>
    <m/>
    <x v="1"/>
  </r>
  <r>
    <x v="0"/>
    <x v="15"/>
    <x v="32"/>
    <m/>
    <s v="DOMÉSTICOS Otros Finos &lt; 50 mm (si &gt; 2kg*, se hará una analitica en laboratorio) "/>
    <x v="49"/>
    <n v="1"/>
    <n v="64.2"/>
    <m/>
    <m/>
    <m/>
    <m/>
    <n v="63.2"/>
    <n v="4.1127090518643782E-3"/>
    <n v="1"/>
    <m/>
    <x v="1"/>
  </r>
  <r>
    <x v="0"/>
    <x v="15"/>
    <x v="33"/>
    <m/>
    <s v="DOMÉSTICOS Otros Cantidad de Producto en Envases (Sólido) "/>
    <x v="50"/>
    <n v="1"/>
    <n v="65.2"/>
    <m/>
    <m/>
    <m/>
    <m/>
    <n v="64.2"/>
    <n v="4.1777835621786882E-3"/>
    <n v="1"/>
    <m/>
    <x v="1"/>
  </r>
  <r>
    <x v="0"/>
    <x v="15"/>
    <x v="34"/>
    <m/>
    <s v="DOMÉSTICOS Otros Cantidad de Producto en Envases (líquido-no aceite) "/>
    <x v="51"/>
    <n v="1"/>
    <n v="66.2"/>
    <m/>
    <m/>
    <m/>
    <m/>
    <n v="65.2"/>
    <n v="4.2428580724929981E-3"/>
    <n v="1"/>
    <m/>
    <x v="1"/>
  </r>
  <r>
    <x v="0"/>
    <x v="15"/>
    <x v="35"/>
    <m/>
    <s v="DOMÉSTICOS Otros Caucho "/>
    <x v="52"/>
    <n v="1"/>
    <n v="67.2"/>
    <m/>
    <m/>
    <m/>
    <m/>
    <n v="66.2"/>
    <n v="4.3079325828073081E-3"/>
    <n v="1"/>
    <m/>
    <x v="1"/>
  </r>
  <r>
    <x v="0"/>
    <x v="15"/>
    <x v="36"/>
    <m/>
    <s v="DOMÉSTICOS Otros Otros otros  (cuerdas multimaterial…) "/>
    <x v="53"/>
    <n v="1"/>
    <n v="68.2"/>
    <m/>
    <m/>
    <m/>
    <m/>
    <n v="67.2"/>
    <n v="4.373007093121618E-3"/>
    <n v="1"/>
    <m/>
    <x v="1"/>
  </r>
  <r>
    <x v="1"/>
    <x v="0"/>
    <x v="0"/>
    <s v="Papel y Cartón envase (Con Pto. Verde)"/>
    <s v="COMERCIALES Papel – cartón  Papel y Cartón envase (Con Pto. Verde)"/>
    <x v="54"/>
    <n v="1"/>
    <n v="69.2"/>
    <m/>
    <m/>
    <m/>
    <m/>
    <n v="68.2"/>
    <n v="4.4380816034359279E-3"/>
    <n v="1"/>
    <m/>
    <x v="0"/>
  </r>
  <r>
    <x v="1"/>
    <x v="0"/>
    <x v="0"/>
    <s v="Papel y Cartón envase (Sin Pto. Verde)"/>
    <s v="COMERCIALES Papel – cartón  Papel y Cartón envase (Sin Pto. Verde)"/>
    <x v="55"/>
    <n v="1"/>
    <n v="70.2"/>
    <m/>
    <m/>
    <m/>
    <m/>
    <n v="69.2"/>
    <n v="4.503156113750237E-3"/>
    <n v="1"/>
    <m/>
    <x v="0"/>
  </r>
  <r>
    <x v="1"/>
    <x v="0"/>
    <x v="0"/>
    <s v="Papel/Cartón No Envase"/>
    <s v="COMERCIALES Papel – cartón  Papel/Cartón No Envase"/>
    <x v="56"/>
    <n v="1"/>
    <n v="71.2"/>
    <m/>
    <m/>
    <m/>
    <m/>
    <n v="70.2"/>
    <n v="4.5682306240645469E-3"/>
    <n v="1"/>
    <m/>
    <x v="0"/>
  </r>
  <r>
    <x v="1"/>
    <x v="1"/>
    <x v="0"/>
    <s v="Envase"/>
    <s v="COMERCIALES Brik  Envase"/>
    <x v="57"/>
    <n v="1"/>
    <n v="72.2"/>
    <m/>
    <m/>
    <m/>
    <m/>
    <n v="71.2"/>
    <n v="4.6333051343788569E-3"/>
    <n v="1"/>
    <m/>
    <x v="0"/>
  </r>
  <r>
    <x v="1"/>
    <x v="2"/>
    <x v="0"/>
    <s v="Envase"/>
    <s v="COMERCIALES Vidrio   Envase"/>
    <x v="58"/>
    <n v="1"/>
    <n v="73.2"/>
    <m/>
    <m/>
    <m/>
    <m/>
    <n v="72.2"/>
    <n v="4.6983796446931668E-3"/>
    <n v="1"/>
    <m/>
    <x v="0"/>
  </r>
  <r>
    <x v="1"/>
    <x v="2"/>
    <x v="0"/>
    <s v="No envase"/>
    <s v="COMERCIALES Vidrio   No envase"/>
    <x v="59"/>
    <n v="1"/>
    <n v="74.2"/>
    <m/>
    <m/>
    <m/>
    <m/>
    <n v="73.2"/>
    <n v="4.7634541550074768E-3"/>
    <n v="1"/>
    <m/>
    <x v="0"/>
  </r>
  <r>
    <x v="1"/>
    <x v="3"/>
    <x v="1"/>
    <s v="Envase"/>
    <s v="COMERCIALES Metales férricos Acero Envase"/>
    <x v="60"/>
    <n v="1"/>
    <n v="75.2"/>
    <m/>
    <m/>
    <m/>
    <m/>
    <n v="74.2"/>
    <n v="4.8285286653217858E-3"/>
    <n v="1"/>
    <m/>
    <x v="0"/>
  </r>
  <r>
    <x v="1"/>
    <x v="3"/>
    <x v="1"/>
    <s v="No envase"/>
    <s v="COMERCIALES Metales férricos Acero No envase"/>
    <x v="61"/>
    <n v="1"/>
    <n v="76.2"/>
    <m/>
    <m/>
    <m/>
    <m/>
    <n v="75.2"/>
    <n v="4.8936031756360958E-3"/>
    <n v="1"/>
    <m/>
    <x v="1"/>
  </r>
  <r>
    <x v="1"/>
    <x v="4"/>
    <x v="2"/>
    <s v="Envase"/>
    <s v="COMERCIALES Metales no férricos Aluminio Envase"/>
    <x v="62"/>
    <n v="1"/>
    <n v="77.2"/>
    <m/>
    <m/>
    <m/>
    <m/>
    <n v="76.2"/>
    <n v="4.9586776859504057E-3"/>
    <n v="1"/>
    <m/>
    <x v="0"/>
  </r>
  <r>
    <x v="1"/>
    <x v="4"/>
    <x v="2"/>
    <s v="No envase"/>
    <s v="COMERCIALES Metales no férricos Aluminio No envase"/>
    <x v="63"/>
    <n v="1"/>
    <n v="78.2"/>
    <m/>
    <m/>
    <m/>
    <m/>
    <n v="77.2"/>
    <n v="5.0237521962647157E-3"/>
    <n v="1"/>
    <m/>
    <x v="1"/>
  </r>
  <r>
    <x v="1"/>
    <x v="5"/>
    <x v="0"/>
    <s v="Envase"/>
    <s v="COMERCIALES Madera  Envase"/>
    <x v="64"/>
    <n v="1"/>
    <n v="79.2"/>
    <m/>
    <m/>
    <m/>
    <m/>
    <n v="78.2"/>
    <n v="5.0888267065790256E-3"/>
    <n v="1"/>
    <m/>
    <x v="0"/>
  </r>
  <r>
    <x v="1"/>
    <x v="5"/>
    <x v="0"/>
    <s v="No envase"/>
    <s v="COMERCIALES Madera  No envase"/>
    <x v="65"/>
    <n v="1"/>
    <n v="80.2"/>
    <m/>
    <m/>
    <m/>
    <m/>
    <n v="79.2"/>
    <n v="5.1539012168933356E-3"/>
    <n v="1"/>
    <m/>
    <x v="1"/>
  </r>
  <r>
    <x v="1"/>
    <x v="6"/>
    <x v="3"/>
    <s v="Envase"/>
    <s v="COMERCIALES Plásticos (excepto SUP*) PET  Envase"/>
    <x v="66"/>
    <n v="1"/>
    <n v="81.2"/>
    <m/>
    <m/>
    <m/>
    <m/>
    <n v="80.2"/>
    <n v="5.2189757272076446E-3"/>
    <n v="1"/>
    <m/>
    <x v="0"/>
  </r>
  <r>
    <x v="1"/>
    <x v="6"/>
    <x v="3"/>
    <s v="No envase"/>
    <s v="COMERCIALES Plásticos (excepto SUP*) PET  No envase"/>
    <x v="67"/>
    <n v="1"/>
    <n v="82.2"/>
    <m/>
    <m/>
    <m/>
    <m/>
    <n v="81.2"/>
    <n v="5.2840502375219546E-3"/>
    <n v="1"/>
    <m/>
    <x v="1"/>
  </r>
  <r>
    <x v="1"/>
    <x v="6"/>
    <x v="4"/>
    <s v="Envase"/>
    <s v="COMERCIALES Plásticos (excepto SUP*) PEAD Envase"/>
    <x v="68"/>
    <n v="1"/>
    <n v="83.2"/>
    <m/>
    <m/>
    <m/>
    <m/>
    <n v="82.2"/>
    <n v="5.3491247478362645E-3"/>
    <n v="1"/>
    <m/>
    <x v="0"/>
  </r>
  <r>
    <x v="1"/>
    <x v="6"/>
    <x v="4"/>
    <s v="No envase"/>
    <s v="COMERCIALES Plásticos (excepto SUP*) PEAD No envase"/>
    <x v="69"/>
    <n v="1"/>
    <n v="84.2"/>
    <m/>
    <m/>
    <m/>
    <m/>
    <n v="83.2"/>
    <n v="5.4141992581505744E-3"/>
    <n v="1"/>
    <m/>
    <x v="1"/>
  </r>
  <r>
    <x v="1"/>
    <x v="6"/>
    <x v="5"/>
    <s v="Envase"/>
    <s v="COMERCIALES Plásticos (excepto SUP*) PEBD Envase"/>
    <x v="70"/>
    <n v="1"/>
    <n v="85.2"/>
    <m/>
    <m/>
    <m/>
    <m/>
    <n v="84.2"/>
    <n v="5.4792737684648844E-3"/>
    <n v="1"/>
    <m/>
    <x v="0"/>
  </r>
  <r>
    <x v="1"/>
    <x v="6"/>
    <x v="5"/>
    <s v="No envase"/>
    <s v="COMERCIALES Plásticos (excepto SUP*) PEBD No envase"/>
    <x v="71"/>
    <n v="1"/>
    <n v="86.2"/>
    <m/>
    <m/>
    <m/>
    <m/>
    <n v="85.2"/>
    <n v="5.5443482787791935E-3"/>
    <n v="1"/>
    <m/>
    <x v="1"/>
  </r>
  <r>
    <x v="1"/>
    <x v="6"/>
    <x v="6"/>
    <s v="Envase"/>
    <s v="COMERCIALES Plásticos (excepto SUP*) PVC Envase"/>
    <x v="72"/>
    <n v="1"/>
    <n v="87.2"/>
    <m/>
    <m/>
    <m/>
    <m/>
    <n v="86.2"/>
    <n v="5.6094227890935034E-3"/>
    <n v="1"/>
    <m/>
    <x v="0"/>
  </r>
  <r>
    <x v="1"/>
    <x v="6"/>
    <x v="6"/>
    <s v="No envase"/>
    <s v="COMERCIALES Plásticos (excepto SUP*) PVC No envase"/>
    <x v="73"/>
    <n v="1"/>
    <n v="88.2"/>
    <m/>
    <m/>
    <m/>
    <m/>
    <n v="87.2"/>
    <n v="5.6744972994078133E-3"/>
    <n v="1"/>
    <m/>
    <x v="1"/>
  </r>
  <r>
    <x v="1"/>
    <x v="6"/>
    <x v="7"/>
    <s v="Envase"/>
    <s v="COMERCIALES Plásticos (excepto SUP*) PP Envase"/>
    <x v="74"/>
    <n v="1"/>
    <n v="89.2"/>
    <m/>
    <m/>
    <m/>
    <m/>
    <n v="88.2"/>
    <n v="5.7395718097221233E-3"/>
    <n v="1"/>
    <m/>
    <x v="0"/>
  </r>
  <r>
    <x v="1"/>
    <x v="6"/>
    <x v="7"/>
    <s v="No envase"/>
    <s v="COMERCIALES Plásticos (excepto SUP*) PP No envase"/>
    <x v="75"/>
    <n v="1"/>
    <n v="90.2"/>
    <m/>
    <m/>
    <m/>
    <m/>
    <n v="89.2"/>
    <n v="5.8046463200364332E-3"/>
    <n v="1"/>
    <m/>
    <x v="1"/>
  </r>
  <r>
    <x v="1"/>
    <x v="6"/>
    <x v="8"/>
    <s v="Envase"/>
    <s v="COMERCIALES Plásticos (excepto SUP*) PS (excepto EPS) Envase"/>
    <x v="76"/>
    <n v="1"/>
    <n v="91.2"/>
    <m/>
    <m/>
    <m/>
    <m/>
    <n v="90.2"/>
    <n v="5.8697208303507432E-3"/>
    <n v="1"/>
    <m/>
    <x v="0"/>
  </r>
  <r>
    <x v="1"/>
    <x v="6"/>
    <x v="8"/>
    <s v="No envase"/>
    <s v="COMERCIALES Plásticos (excepto SUP*) PS (excepto EPS) No envase"/>
    <x v="77"/>
    <n v="1"/>
    <n v="92.2"/>
    <m/>
    <m/>
    <m/>
    <m/>
    <n v="91.2"/>
    <n v="5.9347953406650522E-3"/>
    <n v="1"/>
    <m/>
    <x v="1"/>
  </r>
  <r>
    <x v="1"/>
    <x v="6"/>
    <x v="9"/>
    <s v="Envase"/>
    <s v="COMERCIALES Plásticos (excepto SUP*) EPS Envase"/>
    <x v="78"/>
    <n v="1"/>
    <n v="93.2"/>
    <m/>
    <m/>
    <m/>
    <m/>
    <n v="92.2"/>
    <n v="5.9998698509793622E-3"/>
    <n v="1"/>
    <m/>
    <x v="0"/>
  </r>
  <r>
    <x v="1"/>
    <x v="6"/>
    <x v="9"/>
    <s v="No envase"/>
    <s v="COMERCIALES Plásticos (excepto SUP*) EPS No envase"/>
    <x v="79"/>
    <n v="1"/>
    <n v="94.2"/>
    <m/>
    <m/>
    <m/>
    <m/>
    <n v="93.2"/>
    <n v="6.0649443612936721E-3"/>
    <n v="1"/>
    <m/>
    <x v="1"/>
  </r>
  <r>
    <x v="1"/>
    <x v="6"/>
    <x v="10"/>
    <s v="Envase"/>
    <s v="COMERCIALES Plásticos (excepto SUP*) Otros Plásticos Envase"/>
    <x v="80"/>
    <n v="1"/>
    <n v="95.2"/>
    <m/>
    <m/>
    <m/>
    <m/>
    <n v="94.2"/>
    <n v="6.1300188716079821E-3"/>
    <n v="1"/>
    <m/>
    <x v="0"/>
  </r>
  <r>
    <x v="1"/>
    <x v="6"/>
    <x v="10"/>
    <s v="No envase"/>
    <s v="COMERCIALES Plásticos (excepto SUP*) Otros Plásticos No envase"/>
    <x v="81"/>
    <n v="1"/>
    <n v="96.2"/>
    <m/>
    <m/>
    <m/>
    <m/>
    <n v="95.2"/>
    <n v="6.195093381922292E-3"/>
    <n v="1"/>
    <m/>
    <x v="1"/>
  </r>
  <r>
    <x v="1"/>
    <x v="7"/>
    <x v="11"/>
    <m/>
    <s v="COMERCIALES * Plásticos de un solo uso (SUP) [iii] Botellas para bebidas de hasta tres litros de capacidad, incluidos sus tapas y tapones "/>
    <x v="82"/>
    <n v="1"/>
    <n v="97.2"/>
    <m/>
    <m/>
    <m/>
    <m/>
    <n v="96.2"/>
    <n v="6.2601678922366011E-3"/>
    <n v="1"/>
    <m/>
    <x v="0"/>
  </r>
  <r>
    <x v="1"/>
    <x v="7"/>
    <x v="12"/>
    <m/>
    <s v="COMERCIALES * Plásticos de un solo uso (SUP) [iii] Productos de tabaco con filtro y fitros comercializados para utilizarse en combinación con productos del tabaco "/>
    <x v="83"/>
    <n v="1"/>
    <n v="98.2"/>
    <m/>
    <m/>
    <m/>
    <m/>
    <n v="97.2"/>
    <n v="6.325242402550911E-3"/>
    <n v="1"/>
    <m/>
    <x v="1"/>
  </r>
  <r>
    <x v="1"/>
    <x v="7"/>
    <x v="13"/>
    <m/>
    <s v="COMERCIALES * Plásticos de un solo uso (SUP) [iii] Recipientes para alimentos "/>
    <x v="84"/>
    <n v="1"/>
    <n v="99.2"/>
    <m/>
    <m/>
    <m/>
    <m/>
    <n v="98.2"/>
    <n v="6.390316912865221E-3"/>
    <n v="1"/>
    <m/>
    <x v="0"/>
  </r>
  <r>
    <x v="1"/>
    <x v="7"/>
    <x v="14"/>
    <m/>
    <s v="COMERCIALES * Plásticos de un solo uso (SUP) [iii] Vasos para bebidas (incluidas sus tapas y tapones) "/>
    <x v="85"/>
    <n v="1"/>
    <n v="100.2"/>
    <m/>
    <m/>
    <m/>
    <m/>
    <n v="99.2"/>
    <n v="6.4553914231795309E-3"/>
    <n v="1"/>
    <m/>
    <x v="0"/>
  </r>
  <r>
    <x v="1"/>
    <x v="7"/>
    <x v="15"/>
    <m/>
    <s v="COMERCIALES * Plásticos de un solo uso (SUP) [iii] Otros "/>
    <x v="86"/>
    <n v="1"/>
    <n v="101.2"/>
    <m/>
    <m/>
    <m/>
    <m/>
    <n v="100.2"/>
    <n v="6.5204659334938408E-3"/>
    <n v="1"/>
    <m/>
    <x v="0"/>
  </r>
  <r>
    <x v="1"/>
    <x v="8"/>
    <x v="16"/>
    <m/>
    <s v="COMERCIALES Biorresiduos Restos de alimentos no cocinados y restos derivados de la preparación de alimentos "/>
    <x v="87"/>
    <n v="1"/>
    <n v="102.2"/>
    <m/>
    <m/>
    <m/>
    <m/>
    <n v="101.2"/>
    <n v="6.5855404438081508E-3"/>
    <n v="1"/>
    <m/>
    <x v="0"/>
  </r>
  <r>
    <x v="1"/>
    <x v="8"/>
    <x v="17"/>
    <m/>
    <s v="COMERCIALES Biorresiduos Restos de alimentos cocinados "/>
    <x v="88"/>
    <n v="1"/>
    <n v="103.2"/>
    <m/>
    <m/>
    <m/>
    <m/>
    <n v="102.2"/>
    <n v="6.6506149541224599E-3"/>
    <n v="1"/>
    <m/>
    <x v="0"/>
  </r>
  <r>
    <x v="1"/>
    <x v="8"/>
    <x v="18"/>
    <m/>
    <s v="COMERCIALES Biorresiduos Celulosas: Papel de cocina, servilletas "/>
    <x v="89"/>
    <n v="1"/>
    <n v="104.2"/>
    <m/>
    <m/>
    <m/>
    <m/>
    <n v="103.2"/>
    <n v="6.7156894644367698E-3"/>
    <n v="1"/>
    <m/>
    <x v="0"/>
  </r>
  <r>
    <x v="1"/>
    <x v="8"/>
    <x v="19"/>
    <m/>
    <s v="COMERCIALES Biorresiduos Otros restos de cocina compostables: bolsas, corchos, palillos de madera y otros resto compostables (vasos de papel, etc.) "/>
    <x v="90"/>
    <n v="1"/>
    <n v="105.2"/>
    <m/>
    <m/>
    <m/>
    <m/>
    <n v="104.2"/>
    <n v="6.7807639747510797E-3"/>
    <n v="1"/>
    <m/>
    <x v="0"/>
  </r>
  <r>
    <x v="1"/>
    <x v="8"/>
    <x v="20"/>
    <m/>
    <s v="COMERCIALES Biorresiduos Derroche alimentario: alimentos caducados y en mal estado (a granel o en envases abiertos, el envase se separará en su fracción) "/>
    <x v="91"/>
    <n v="1"/>
    <n v="106.2"/>
    <m/>
    <m/>
    <m/>
    <m/>
    <n v="105.2"/>
    <n v="6.8458384850653897E-3"/>
    <n v="1"/>
    <m/>
    <x v="0"/>
  </r>
  <r>
    <x v="1"/>
    <x v="8"/>
    <x v="21"/>
    <m/>
    <s v="COMERCIALES Biorresiduos Restos vegetales (césped, hojas, flores, etc.) "/>
    <x v="92"/>
    <n v="1"/>
    <n v="107.2"/>
    <m/>
    <m/>
    <m/>
    <m/>
    <n v="106.2"/>
    <n v="6.9109129953796996E-3"/>
    <n v="1"/>
    <m/>
    <x v="0"/>
  </r>
  <r>
    <x v="1"/>
    <x v="8"/>
    <x v="22"/>
    <m/>
    <s v="COMERCIALES Biorresiduos Restos de poda (ramas, arbustos, etc.) "/>
    <x v="93"/>
    <n v="1"/>
    <n v="108.2"/>
    <m/>
    <m/>
    <m/>
    <m/>
    <n v="107.2"/>
    <n v="6.9759875056940087E-3"/>
    <n v="1"/>
    <m/>
    <x v="0"/>
  </r>
  <r>
    <x v="1"/>
    <x v="9"/>
    <x v="23"/>
    <m/>
    <s v="COMERCIALES ACEITE Aceite de cocina usados (contenidos en envases) "/>
    <x v="94"/>
    <n v="1"/>
    <n v="109.2"/>
    <m/>
    <m/>
    <m/>
    <m/>
    <n v="108.2"/>
    <n v="7.0410620160083186E-3"/>
    <n v="1"/>
    <m/>
    <x v="0"/>
  </r>
  <r>
    <x v="1"/>
    <x v="10"/>
    <x v="24"/>
    <m/>
    <s v="COMERCIALES RAEE [iv] RAEE  "/>
    <x v="95"/>
    <n v="1"/>
    <n v="110.2"/>
    <m/>
    <m/>
    <m/>
    <m/>
    <n v="109.2"/>
    <n v="7.1061365263226286E-3"/>
    <n v="1"/>
    <m/>
    <x v="0"/>
  </r>
  <r>
    <x v="1"/>
    <x v="11"/>
    <x v="25"/>
    <m/>
    <s v="COMERCIALES Baterias Pilas y Acumuladores "/>
    <x v="96"/>
    <n v="1"/>
    <n v="111.2"/>
    <m/>
    <m/>
    <m/>
    <m/>
    <n v="110.2"/>
    <n v="7.1712110366369385E-3"/>
    <n v="1"/>
    <m/>
    <x v="0"/>
  </r>
  <r>
    <x v="1"/>
    <x v="11"/>
    <x v="26"/>
    <m/>
    <s v="COMERCIALES Baterias Baterías de Vehículos "/>
    <x v="97"/>
    <n v="1"/>
    <n v="112.2"/>
    <m/>
    <m/>
    <m/>
    <m/>
    <n v="111.2"/>
    <n v="7.2362855469512485E-3"/>
    <n v="1"/>
    <m/>
    <x v="0"/>
  </r>
  <r>
    <x v="1"/>
    <x v="12"/>
    <x v="27"/>
    <m/>
    <s v="COMERCIALES Textiles Textiles y piel "/>
    <x v="98"/>
    <n v="1"/>
    <n v="113.2"/>
    <m/>
    <m/>
    <m/>
    <m/>
    <n v="112.2"/>
    <n v="7.3013600572655584E-3"/>
    <n v="1"/>
    <m/>
    <x v="0"/>
  </r>
  <r>
    <x v="1"/>
    <x v="13"/>
    <x v="28"/>
    <m/>
    <s v="COMERCIALES Textiles sanitarios Textiles y celulósicos sanitarios "/>
    <x v="99"/>
    <n v="1"/>
    <n v="114.2"/>
    <m/>
    <m/>
    <m/>
    <m/>
    <n v="113.2"/>
    <n v="7.3664345675798675E-3"/>
    <n v="1"/>
    <m/>
    <x v="1"/>
  </r>
  <r>
    <x v="1"/>
    <x v="14"/>
    <x v="29"/>
    <m/>
    <s v="COMERCIALES Tierras y RCDs Tierras y Escombros "/>
    <x v="100"/>
    <n v="1"/>
    <n v="115.2"/>
    <m/>
    <m/>
    <m/>
    <m/>
    <n v="114.2"/>
    <n v="7.4315090778941774E-3"/>
    <n v="1"/>
    <m/>
    <x v="0"/>
  </r>
  <r>
    <x v="1"/>
    <x v="14"/>
    <x v="30"/>
    <m/>
    <s v="COMERCIALES Tierras y RCDs Restos de obras menores "/>
    <x v="101"/>
    <n v="1"/>
    <n v="116.2"/>
    <m/>
    <m/>
    <m/>
    <m/>
    <n v="115.2"/>
    <n v="7.4965835882084874E-3"/>
    <n v="1"/>
    <m/>
    <x v="0"/>
  </r>
  <r>
    <x v="1"/>
    <x v="15"/>
    <x v="31"/>
    <m/>
    <s v="COMERCIALES Otros Inclasificables mayores de 50 mm "/>
    <x v="102"/>
    <n v="1"/>
    <n v="117.2"/>
    <m/>
    <m/>
    <m/>
    <m/>
    <n v="116.2"/>
    <n v="7.5616580985227973E-3"/>
    <n v="1"/>
    <m/>
    <x v="1"/>
  </r>
  <r>
    <x v="1"/>
    <x v="15"/>
    <x v="32"/>
    <m/>
    <s v="COMERCIALES Otros Finos &lt; 50 mm (si &gt; 2kg*, se hará una analitica en laboratorio) "/>
    <x v="103"/>
    <n v="1"/>
    <n v="118.2"/>
    <m/>
    <m/>
    <m/>
    <m/>
    <n v="117.2"/>
    <n v="7.6267326088371072E-3"/>
    <n v="1"/>
    <m/>
    <x v="1"/>
  </r>
  <r>
    <x v="1"/>
    <x v="15"/>
    <x v="33"/>
    <m/>
    <s v="COMERCIALES Otros Cantidad de Producto en Envases (Sólido) "/>
    <x v="104"/>
    <n v="1"/>
    <n v="119.2"/>
    <m/>
    <m/>
    <m/>
    <m/>
    <n v="118.2"/>
    <n v="7.6918071191514163E-3"/>
    <n v="1"/>
    <m/>
    <x v="1"/>
  </r>
  <r>
    <x v="1"/>
    <x v="15"/>
    <x v="34"/>
    <m/>
    <s v="COMERCIALES Otros Cantidad de Producto en Envases (líquido-no aceite) "/>
    <x v="105"/>
    <n v="1"/>
    <n v="120.2"/>
    <m/>
    <m/>
    <m/>
    <m/>
    <n v="119.2"/>
    <n v="7.7568816294657263E-3"/>
    <n v="1"/>
    <m/>
    <x v="1"/>
  </r>
  <r>
    <x v="1"/>
    <x v="15"/>
    <x v="35"/>
    <m/>
    <s v="COMERCIALES Otros Caucho "/>
    <x v="106"/>
    <n v="1"/>
    <n v="121.2"/>
    <m/>
    <m/>
    <m/>
    <m/>
    <n v="120.2"/>
    <n v="7.8219561397800362E-3"/>
    <n v="1"/>
    <m/>
    <x v="1"/>
  </r>
  <r>
    <x v="1"/>
    <x v="15"/>
    <x v="36"/>
    <m/>
    <s v="COMERCIALES Otros Otros otros  (cuerdas multimaterial…) "/>
    <x v="107"/>
    <n v="1"/>
    <n v="122.2"/>
    <m/>
    <m/>
    <m/>
    <m/>
    <n v="121.2"/>
    <n v="7.8870306500943461E-3"/>
    <n v="1"/>
    <m/>
    <x v="1"/>
  </r>
  <r>
    <x v="2"/>
    <x v="0"/>
    <x v="0"/>
    <s v="Papel y Cartón envase (Con Pto. Verde)"/>
    <s v="INDUSTRIALES / AGRICOLAS Papel – cartón  Papel y Cartón envase (Con Pto. Verde)"/>
    <x v="108"/>
    <n v="1"/>
    <n v="123.2"/>
    <m/>
    <m/>
    <m/>
    <m/>
    <n v="122.2"/>
    <n v="7.9521051604086561E-3"/>
    <n v="1"/>
    <m/>
    <x v="0"/>
  </r>
  <r>
    <x v="2"/>
    <x v="0"/>
    <x v="0"/>
    <s v="Papel y Cartón envase (Sin Pto. Verde)"/>
    <s v="INDUSTRIALES / AGRICOLAS Papel – cartón  Papel y Cartón envase (Sin Pto. Verde)"/>
    <x v="109"/>
    <n v="1"/>
    <n v="124.2"/>
    <m/>
    <m/>
    <m/>
    <m/>
    <n v="123.2"/>
    <n v="8.017179670722966E-3"/>
    <n v="1"/>
    <m/>
    <x v="0"/>
  </r>
  <r>
    <x v="2"/>
    <x v="0"/>
    <x v="0"/>
    <s v="Papel/Cartón No Envase"/>
    <s v="INDUSTRIALES / AGRICOLAS Papel – cartón  Papel/Cartón No Envase"/>
    <x v="110"/>
    <n v="1"/>
    <n v="125.2"/>
    <m/>
    <m/>
    <m/>
    <m/>
    <n v="124.2"/>
    <n v="8.082254181037276E-3"/>
    <n v="1"/>
    <m/>
    <x v="0"/>
  </r>
  <r>
    <x v="2"/>
    <x v="1"/>
    <x v="0"/>
    <s v="Envase"/>
    <s v="INDUSTRIALES / AGRICOLAS Brik  Envase"/>
    <x v="111"/>
    <n v="1"/>
    <n v="126.2"/>
    <m/>
    <m/>
    <m/>
    <m/>
    <n v="125.2"/>
    <n v="8.1473286913515859E-3"/>
    <n v="1"/>
    <m/>
    <x v="0"/>
  </r>
  <r>
    <x v="2"/>
    <x v="2"/>
    <x v="0"/>
    <s v="Envase"/>
    <s v="INDUSTRIALES / AGRICOLAS Vidrio   Envase"/>
    <x v="112"/>
    <n v="1"/>
    <n v="127.2"/>
    <m/>
    <m/>
    <m/>
    <m/>
    <n v="126.2"/>
    <n v="8.2124032016658959E-3"/>
    <n v="1"/>
    <m/>
    <x v="0"/>
  </r>
  <r>
    <x v="2"/>
    <x v="2"/>
    <x v="0"/>
    <s v="No envase"/>
    <s v="INDUSTRIALES / AGRICOLAS Vidrio   No envase"/>
    <x v="113"/>
    <n v="1"/>
    <n v="128.19999999999999"/>
    <m/>
    <m/>
    <m/>
    <m/>
    <n v="127.19999999999999"/>
    <n v="8.2774777119802041E-3"/>
    <n v="1"/>
    <m/>
    <x v="0"/>
  </r>
  <r>
    <x v="2"/>
    <x v="3"/>
    <x v="1"/>
    <s v="Envase"/>
    <s v="INDUSTRIALES / AGRICOLAS Metales férricos Acero Envase"/>
    <x v="114"/>
    <n v="1"/>
    <n v="129.19999999999999"/>
    <m/>
    <m/>
    <m/>
    <m/>
    <n v="128.19999999999999"/>
    <n v="8.342552222294514E-3"/>
    <n v="1"/>
    <m/>
    <x v="0"/>
  </r>
  <r>
    <x v="2"/>
    <x v="3"/>
    <x v="1"/>
    <s v="No envase"/>
    <s v="INDUSTRIALES / AGRICOLAS Metales férricos Acero No envase"/>
    <x v="115"/>
    <n v="1"/>
    <n v="130.19999999999999"/>
    <m/>
    <m/>
    <m/>
    <m/>
    <n v="129.19999999999999"/>
    <n v="8.4076267326088239E-3"/>
    <n v="1"/>
    <m/>
    <x v="1"/>
  </r>
  <r>
    <x v="2"/>
    <x v="4"/>
    <x v="2"/>
    <s v="Envase"/>
    <s v="INDUSTRIALES / AGRICOLAS Metales no férricos Aluminio Envase"/>
    <x v="116"/>
    <n v="1"/>
    <n v="131.19999999999999"/>
    <m/>
    <m/>
    <m/>
    <m/>
    <n v="130.19999999999999"/>
    <n v="8.4727012429231339E-3"/>
    <n v="1"/>
    <m/>
    <x v="0"/>
  </r>
  <r>
    <x v="2"/>
    <x v="4"/>
    <x v="2"/>
    <s v="No envase"/>
    <s v="INDUSTRIALES / AGRICOLAS Metales no férricos Aluminio No envase"/>
    <x v="117"/>
    <n v="1"/>
    <n v="132.19999999999999"/>
    <m/>
    <m/>
    <m/>
    <m/>
    <n v="131.19999999999999"/>
    <n v="8.5377757532374438E-3"/>
    <n v="1"/>
    <m/>
    <x v="1"/>
  </r>
  <r>
    <x v="2"/>
    <x v="5"/>
    <x v="0"/>
    <s v="Envase"/>
    <s v="INDUSTRIALES / AGRICOLAS Madera  Envase"/>
    <x v="118"/>
    <n v="1"/>
    <n v="133.19999999999999"/>
    <m/>
    <m/>
    <m/>
    <m/>
    <n v="132.19999999999999"/>
    <n v="8.602850263551752E-3"/>
    <n v="1"/>
    <m/>
    <x v="0"/>
  </r>
  <r>
    <x v="2"/>
    <x v="5"/>
    <x v="0"/>
    <s v="No envase"/>
    <s v="INDUSTRIALES / AGRICOLAS Madera  No envase"/>
    <x v="119"/>
    <n v="1"/>
    <n v="134.19999999999999"/>
    <m/>
    <m/>
    <m/>
    <m/>
    <n v="133.19999999999999"/>
    <n v="8.667924773866062E-3"/>
    <n v="1"/>
    <m/>
    <x v="1"/>
  </r>
  <r>
    <x v="2"/>
    <x v="6"/>
    <x v="3"/>
    <s v="Envase"/>
    <s v="INDUSTRIALES / AGRICOLAS Plásticos (excepto SUP*) PET  Envase"/>
    <x v="120"/>
    <n v="1"/>
    <n v="135.19999999999999"/>
    <m/>
    <m/>
    <m/>
    <m/>
    <n v="134.19999999999999"/>
    <n v="8.7329992841803719E-3"/>
    <n v="1"/>
    <m/>
    <x v="0"/>
  </r>
  <r>
    <x v="2"/>
    <x v="6"/>
    <x v="3"/>
    <s v="No envase"/>
    <s v="INDUSTRIALES / AGRICOLAS Plásticos (excepto SUP*) PET  No envase"/>
    <x v="121"/>
    <n v="1"/>
    <n v="136.19999999999999"/>
    <m/>
    <m/>
    <m/>
    <m/>
    <n v="135.19999999999999"/>
    <n v="8.7980737944946819E-3"/>
    <n v="1"/>
    <m/>
    <x v="1"/>
  </r>
  <r>
    <x v="2"/>
    <x v="6"/>
    <x v="4"/>
    <s v="Envase"/>
    <s v="INDUSTRIALES / AGRICOLAS Plásticos (excepto SUP*) PEAD Envase"/>
    <x v="122"/>
    <n v="1"/>
    <n v="137.19999999999999"/>
    <m/>
    <m/>
    <m/>
    <m/>
    <n v="136.19999999999999"/>
    <n v="8.8631483048089918E-3"/>
    <n v="1"/>
    <m/>
    <x v="0"/>
  </r>
  <r>
    <x v="2"/>
    <x v="6"/>
    <x v="4"/>
    <s v="No envase"/>
    <s v="INDUSTRIALES / AGRICOLAS Plásticos (excepto SUP*) PEAD No envase"/>
    <x v="123"/>
    <n v="1"/>
    <n v="138.19999999999999"/>
    <m/>
    <m/>
    <m/>
    <m/>
    <n v="137.19999999999999"/>
    <n v="8.9282228151233017E-3"/>
    <n v="1"/>
    <m/>
    <x v="1"/>
  </r>
  <r>
    <x v="2"/>
    <x v="6"/>
    <x v="5"/>
    <s v="Envase"/>
    <s v="INDUSTRIALES / AGRICOLAS Plásticos (excepto SUP*) PEBD Envase"/>
    <x v="124"/>
    <n v="1"/>
    <n v="139.19999999999999"/>
    <m/>
    <m/>
    <m/>
    <m/>
    <n v="138.19999999999999"/>
    <n v="8.9932973254376117E-3"/>
    <n v="1"/>
    <m/>
    <x v="0"/>
  </r>
  <r>
    <x v="2"/>
    <x v="6"/>
    <x v="5"/>
    <s v="No envase"/>
    <s v="INDUSTRIALES / AGRICOLAS Plásticos (excepto SUP*) PEBD No envase"/>
    <x v="125"/>
    <n v="1"/>
    <n v="140.19999999999999"/>
    <m/>
    <m/>
    <m/>
    <m/>
    <n v="139.19999999999999"/>
    <n v="9.0583718357519216E-3"/>
    <n v="1"/>
    <m/>
    <x v="1"/>
  </r>
  <r>
    <x v="2"/>
    <x v="6"/>
    <x v="6"/>
    <s v="Envase"/>
    <s v="INDUSTRIALES / AGRICOLAS Plásticos (excepto SUP*) PVC Envase"/>
    <x v="126"/>
    <n v="1"/>
    <n v="141.19999999999999"/>
    <m/>
    <m/>
    <m/>
    <m/>
    <n v="140.19999999999999"/>
    <n v="9.1234463460662316E-3"/>
    <n v="1"/>
    <m/>
    <x v="0"/>
  </r>
  <r>
    <x v="2"/>
    <x v="6"/>
    <x v="6"/>
    <s v="No envase"/>
    <s v="INDUSTRIALES / AGRICOLAS Plásticos (excepto SUP*) PVC No envase"/>
    <x v="127"/>
    <n v="1"/>
    <n v="142.19999999999999"/>
    <m/>
    <m/>
    <m/>
    <m/>
    <n v="141.19999999999999"/>
    <n v="9.1885208563805415E-3"/>
    <n v="1"/>
    <m/>
    <x v="1"/>
  </r>
  <r>
    <x v="2"/>
    <x v="6"/>
    <x v="7"/>
    <s v="Envase"/>
    <s v="INDUSTRIALES / AGRICOLAS Plásticos (excepto SUP*) PP Envase"/>
    <x v="128"/>
    <n v="1"/>
    <n v="143.19999999999999"/>
    <m/>
    <m/>
    <m/>
    <m/>
    <n v="142.19999999999999"/>
    <n v="9.2535953666948514E-3"/>
    <n v="1"/>
    <m/>
    <x v="0"/>
  </r>
  <r>
    <x v="2"/>
    <x v="6"/>
    <x v="7"/>
    <s v="No envase"/>
    <s v="INDUSTRIALES / AGRICOLAS Plásticos (excepto SUP*) PP No envase"/>
    <x v="129"/>
    <n v="1"/>
    <n v="144.19999999999999"/>
    <m/>
    <m/>
    <m/>
    <m/>
    <n v="143.19999999999999"/>
    <n v="9.3186698770091596E-3"/>
    <n v="1"/>
    <m/>
    <x v="1"/>
  </r>
  <r>
    <x v="2"/>
    <x v="6"/>
    <x v="8"/>
    <s v="Envase"/>
    <s v="INDUSTRIALES / AGRICOLAS Plásticos (excepto SUP*) PS (excepto EPS) Envase"/>
    <x v="130"/>
    <n v="1"/>
    <n v="145.19999999999999"/>
    <m/>
    <m/>
    <m/>
    <m/>
    <n v="144.19999999999999"/>
    <n v="9.3837443873234696E-3"/>
    <n v="1"/>
    <m/>
    <x v="0"/>
  </r>
  <r>
    <x v="2"/>
    <x v="6"/>
    <x v="8"/>
    <s v="No envase"/>
    <s v="INDUSTRIALES / AGRICOLAS Plásticos (excepto SUP*) PS (excepto EPS) No envase"/>
    <x v="131"/>
    <n v="1"/>
    <n v="146.19999999999999"/>
    <m/>
    <m/>
    <m/>
    <m/>
    <n v="145.19999999999999"/>
    <n v="9.4488188976377795E-3"/>
    <n v="1"/>
    <m/>
    <x v="1"/>
  </r>
  <r>
    <x v="2"/>
    <x v="6"/>
    <x v="9"/>
    <s v="Envase"/>
    <s v="INDUSTRIALES / AGRICOLAS Plásticos (excepto SUP*) EPS Envase"/>
    <x v="132"/>
    <n v="1"/>
    <n v="147.19999999999999"/>
    <m/>
    <m/>
    <m/>
    <m/>
    <n v="146.19999999999999"/>
    <n v="9.5138934079520895E-3"/>
    <n v="1"/>
    <m/>
    <x v="0"/>
  </r>
  <r>
    <x v="2"/>
    <x v="6"/>
    <x v="9"/>
    <s v="No envase"/>
    <s v="INDUSTRIALES / AGRICOLAS Plásticos (excepto SUP*) EPS No envase"/>
    <x v="133"/>
    <n v="1"/>
    <n v="148.19999999999999"/>
    <m/>
    <m/>
    <m/>
    <m/>
    <n v="147.19999999999999"/>
    <n v="9.5789679182663994E-3"/>
    <n v="1"/>
    <m/>
    <x v="1"/>
  </r>
  <r>
    <x v="2"/>
    <x v="6"/>
    <x v="10"/>
    <s v="Envase"/>
    <s v="INDUSTRIALES / AGRICOLAS Plásticos (excepto SUP*) Otros Plásticos Envase"/>
    <x v="134"/>
    <n v="1"/>
    <n v="149.19999999999999"/>
    <m/>
    <m/>
    <m/>
    <m/>
    <n v="148.19999999999999"/>
    <n v="9.6440424285807094E-3"/>
    <n v="1"/>
    <m/>
    <x v="0"/>
  </r>
  <r>
    <x v="2"/>
    <x v="6"/>
    <x v="10"/>
    <s v="No envase"/>
    <s v="INDUSTRIALES / AGRICOLAS Plásticos (excepto SUP*) Otros Plásticos No envase"/>
    <x v="135"/>
    <n v="1"/>
    <n v="150.19999999999999"/>
    <m/>
    <m/>
    <m/>
    <m/>
    <n v="149.19999999999999"/>
    <n v="9.7091169388950193E-3"/>
    <n v="1"/>
    <m/>
    <x v="1"/>
  </r>
  <r>
    <x v="2"/>
    <x v="7"/>
    <x v="11"/>
    <m/>
    <s v="INDUSTRIALES / AGRICOLAS * Plásticos de un solo uso (SUP) [iii] Botellas para bebidas de hasta tres litros de capacidad, incluidos sus tapas y tapones "/>
    <x v="136"/>
    <n v="1"/>
    <n v="151.19999999999999"/>
    <m/>
    <m/>
    <m/>
    <m/>
    <n v="150.19999999999999"/>
    <n v="9.7741914492093292E-3"/>
    <n v="1"/>
    <m/>
    <x v="0"/>
  </r>
  <r>
    <x v="2"/>
    <x v="7"/>
    <x v="12"/>
    <m/>
    <s v="INDUSTRIALES / AGRICOLAS * Plásticos de un solo uso (SUP) [iii] Productos de tabaco con filtro y fitros comercializados para utilizarse en combinación con productos del tabaco "/>
    <x v="137"/>
    <n v="1"/>
    <n v="152.19999999999999"/>
    <m/>
    <m/>
    <m/>
    <m/>
    <n v="151.19999999999999"/>
    <n v="9.8392659595236392E-3"/>
    <n v="1"/>
    <m/>
    <x v="1"/>
  </r>
  <r>
    <x v="2"/>
    <x v="7"/>
    <x v="13"/>
    <m/>
    <s v="INDUSTRIALES / AGRICOLAS * Plásticos de un solo uso (SUP) [iii] Recipientes para alimentos "/>
    <x v="138"/>
    <n v="1"/>
    <n v="153.19999999999999"/>
    <m/>
    <m/>
    <m/>
    <m/>
    <n v="152.19999999999999"/>
    <n v="9.9043404698379491E-3"/>
    <n v="1"/>
    <m/>
    <x v="0"/>
  </r>
  <r>
    <x v="2"/>
    <x v="7"/>
    <x v="14"/>
    <m/>
    <s v="INDUSTRIALES / AGRICOLAS * Plásticos de un solo uso (SUP) [iii] Vasos para bebidas (incluidas sus tapas y tapones) "/>
    <x v="139"/>
    <n v="1"/>
    <n v="154.19999999999999"/>
    <m/>
    <m/>
    <m/>
    <m/>
    <n v="153.19999999999999"/>
    <n v="9.9694149801522591E-3"/>
    <n v="1"/>
    <m/>
    <x v="0"/>
  </r>
  <r>
    <x v="2"/>
    <x v="7"/>
    <x v="15"/>
    <m/>
    <s v="INDUSTRIALES / AGRICOLAS * Plásticos de un solo uso (SUP) [iii] Otros "/>
    <x v="140"/>
    <n v="1"/>
    <n v="155.19999999999999"/>
    <m/>
    <m/>
    <m/>
    <m/>
    <n v="154.19999999999999"/>
    <n v="1.0034489490466567E-2"/>
    <n v="1"/>
    <m/>
    <x v="0"/>
  </r>
  <r>
    <x v="2"/>
    <x v="8"/>
    <x v="16"/>
    <m/>
    <s v="INDUSTRIALES / AGRICOLAS Biorresiduos Restos de alimentos no cocinados y restos derivados de la preparación de alimentos "/>
    <x v="141"/>
    <n v="1"/>
    <n v="156.19999999999999"/>
    <m/>
    <m/>
    <m/>
    <m/>
    <n v="155.19999999999999"/>
    <n v="1.0099564000780877E-2"/>
    <n v="1"/>
    <m/>
    <x v="0"/>
  </r>
  <r>
    <x v="2"/>
    <x v="8"/>
    <x v="17"/>
    <m/>
    <s v="INDUSTRIALES / AGRICOLAS Biorresiduos Restos de alimentos cocinados "/>
    <x v="142"/>
    <n v="1"/>
    <n v="157.19999999999999"/>
    <m/>
    <m/>
    <m/>
    <m/>
    <n v="156.19999999999999"/>
    <n v="1.0164638511095187E-2"/>
    <n v="1"/>
    <m/>
    <x v="0"/>
  </r>
  <r>
    <x v="2"/>
    <x v="8"/>
    <x v="18"/>
    <m/>
    <s v="INDUSTRIALES / AGRICOLAS Biorresiduos Celulosas: Papel de cocina, servilletas "/>
    <x v="143"/>
    <n v="1"/>
    <n v="158.19999999999999"/>
    <m/>
    <m/>
    <m/>
    <m/>
    <n v="157.19999999999999"/>
    <n v="1.0229713021409497E-2"/>
    <n v="1"/>
    <m/>
    <x v="0"/>
  </r>
  <r>
    <x v="2"/>
    <x v="8"/>
    <x v="19"/>
    <m/>
    <s v="INDUSTRIALES / AGRICOLAS Biorresiduos Otros restos de cocina compostables: bolsas, corchos, palillos de madera y otros resto compostables (vasos de papel, etc.) "/>
    <x v="144"/>
    <n v="1"/>
    <n v="159.19999999999999"/>
    <m/>
    <m/>
    <m/>
    <m/>
    <n v="158.19999999999999"/>
    <n v="1.0294787531723807E-2"/>
    <n v="1"/>
    <m/>
    <x v="0"/>
  </r>
  <r>
    <x v="2"/>
    <x v="8"/>
    <x v="20"/>
    <m/>
    <s v="INDUSTRIALES / AGRICOLAS Biorresiduos Derroche alimentario: alimentos caducados y en mal estado (a granel o en envases abiertos, el envase se separará en su fracción) "/>
    <x v="145"/>
    <n v="1"/>
    <n v="160.19999999999999"/>
    <m/>
    <m/>
    <m/>
    <m/>
    <n v="159.19999999999999"/>
    <n v="1.0359862042038117E-2"/>
    <n v="1"/>
    <m/>
    <x v="0"/>
  </r>
  <r>
    <x v="2"/>
    <x v="8"/>
    <x v="21"/>
    <m/>
    <s v="INDUSTRIALES / AGRICOLAS Biorresiduos Restos vegetales (césped, hojas, flores, etc.) "/>
    <x v="146"/>
    <n v="1"/>
    <n v="161.19999999999999"/>
    <m/>
    <m/>
    <m/>
    <m/>
    <n v="160.19999999999999"/>
    <n v="1.0424936552352427E-2"/>
    <n v="1"/>
    <m/>
    <x v="0"/>
  </r>
  <r>
    <x v="2"/>
    <x v="8"/>
    <x v="22"/>
    <m/>
    <s v="INDUSTRIALES / AGRICOLAS Biorresiduos Restos de poda (ramas, arbustos, etc.) "/>
    <x v="147"/>
    <n v="1"/>
    <n v="162.19999999999999"/>
    <m/>
    <m/>
    <m/>
    <m/>
    <n v="161.19999999999999"/>
    <n v="1.0490011062666737E-2"/>
    <n v="1"/>
    <m/>
    <x v="0"/>
  </r>
  <r>
    <x v="2"/>
    <x v="9"/>
    <x v="23"/>
    <m/>
    <s v="INDUSTRIALES / AGRICOLAS ACEITE Aceite de cocina usados (contenidos en envases) "/>
    <x v="148"/>
    <n v="1"/>
    <n v="163.19999999999999"/>
    <m/>
    <m/>
    <m/>
    <m/>
    <n v="162.19999999999999"/>
    <n v="1.0555085572981047E-2"/>
    <n v="1"/>
    <m/>
    <x v="0"/>
  </r>
  <r>
    <x v="2"/>
    <x v="10"/>
    <x v="24"/>
    <m/>
    <s v="INDUSTRIALES / AGRICOLAS RAEE [iv] RAEE  "/>
    <x v="149"/>
    <n v="1"/>
    <n v="164.2"/>
    <m/>
    <m/>
    <m/>
    <m/>
    <n v="163.19999999999999"/>
    <n v="1.0620160083295357E-2"/>
    <n v="1"/>
    <m/>
    <x v="0"/>
  </r>
  <r>
    <x v="2"/>
    <x v="11"/>
    <x v="25"/>
    <m/>
    <s v="INDUSTRIALES / AGRICOLAS Baterias Pilas y Acumuladores "/>
    <x v="150"/>
    <n v="1"/>
    <n v="165.2"/>
    <m/>
    <m/>
    <m/>
    <m/>
    <n v="164.2"/>
    <n v="1.0685234593609667E-2"/>
    <n v="1"/>
    <m/>
    <x v="0"/>
  </r>
  <r>
    <x v="2"/>
    <x v="11"/>
    <x v="26"/>
    <m/>
    <s v="INDUSTRIALES / AGRICOLAS Baterias Baterías de Vehículos "/>
    <x v="151"/>
    <n v="1"/>
    <n v="166.2"/>
    <m/>
    <m/>
    <m/>
    <m/>
    <n v="165.2"/>
    <n v="1.0750309103923975E-2"/>
    <n v="1"/>
    <m/>
    <x v="0"/>
  </r>
  <r>
    <x v="2"/>
    <x v="12"/>
    <x v="27"/>
    <m/>
    <s v="INDUSTRIALES / AGRICOLAS Textiles Textiles y piel "/>
    <x v="152"/>
    <n v="1"/>
    <n v="167.2"/>
    <m/>
    <m/>
    <m/>
    <m/>
    <n v="166.2"/>
    <n v="1.0815383614238285E-2"/>
    <n v="1"/>
    <m/>
    <x v="0"/>
  </r>
  <r>
    <x v="2"/>
    <x v="13"/>
    <x v="28"/>
    <m/>
    <s v="INDUSTRIALES / AGRICOLAS Textiles sanitarios Textiles y celulósicos sanitarios "/>
    <x v="153"/>
    <n v="1"/>
    <n v="168.2"/>
    <m/>
    <m/>
    <m/>
    <m/>
    <n v="167.2"/>
    <n v="1.0880458124552595E-2"/>
    <n v="1"/>
    <m/>
    <x v="1"/>
  </r>
  <r>
    <x v="2"/>
    <x v="14"/>
    <x v="29"/>
    <m/>
    <s v="INDUSTRIALES / AGRICOLAS Tierras y RCDs Tierras y Escombros "/>
    <x v="154"/>
    <n v="1"/>
    <n v="169.2"/>
    <m/>
    <m/>
    <m/>
    <m/>
    <n v="168.2"/>
    <n v="1.0945532634866905E-2"/>
    <n v="1"/>
    <m/>
    <x v="0"/>
  </r>
  <r>
    <x v="2"/>
    <x v="14"/>
    <x v="30"/>
    <m/>
    <s v="INDUSTRIALES / AGRICOLAS Tierras y RCDs Restos de obras menores "/>
    <x v="155"/>
    <n v="1"/>
    <n v="170.2"/>
    <m/>
    <m/>
    <m/>
    <m/>
    <n v="169.2"/>
    <n v="1.1010607145181215E-2"/>
    <n v="1"/>
    <m/>
    <x v="0"/>
  </r>
  <r>
    <x v="2"/>
    <x v="15"/>
    <x v="31"/>
    <m/>
    <s v="INDUSTRIALES / AGRICOLAS Otros Inclasificables mayores de 50 mm "/>
    <x v="156"/>
    <n v="1"/>
    <n v="171.2"/>
    <m/>
    <m/>
    <m/>
    <m/>
    <n v="170.2"/>
    <n v="1.1075681655495525E-2"/>
    <n v="1"/>
    <m/>
    <x v="1"/>
  </r>
  <r>
    <x v="2"/>
    <x v="15"/>
    <x v="32"/>
    <m/>
    <s v="INDUSTRIALES / AGRICOLAS Otros Finos &lt; 50 mm (si &gt; 2kg*, se hará una analitica en laboratorio) "/>
    <x v="157"/>
    <n v="1"/>
    <n v="172.2"/>
    <m/>
    <m/>
    <m/>
    <m/>
    <n v="171.2"/>
    <n v="1.1140756165809835E-2"/>
    <n v="1"/>
    <m/>
    <x v="1"/>
  </r>
  <r>
    <x v="2"/>
    <x v="15"/>
    <x v="33"/>
    <m/>
    <s v="INDUSTRIALES / AGRICOLAS Otros Cantidad de Producto en Envases (Sólido) "/>
    <x v="158"/>
    <n v="1"/>
    <n v="173.2"/>
    <m/>
    <m/>
    <m/>
    <m/>
    <n v="172.2"/>
    <n v="1.1205830676124144E-2"/>
    <n v="1"/>
    <m/>
    <x v="1"/>
  </r>
  <r>
    <x v="2"/>
    <x v="15"/>
    <x v="34"/>
    <m/>
    <s v="INDUSTRIALES / AGRICOLAS Otros Cantidad de Producto en Envases (líquido-no aceite) "/>
    <x v="159"/>
    <n v="1"/>
    <n v="174.2"/>
    <m/>
    <m/>
    <m/>
    <m/>
    <n v="173.2"/>
    <n v="1.1270905186438454E-2"/>
    <n v="1"/>
    <m/>
    <x v="1"/>
  </r>
  <r>
    <x v="2"/>
    <x v="15"/>
    <x v="35"/>
    <m/>
    <s v="INDUSTRIALES / AGRICOLAS Otros Caucho "/>
    <x v="160"/>
    <n v="1"/>
    <n v="175.2"/>
    <m/>
    <m/>
    <m/>
    <m/>
    <n v="174.2"/>
    <n v="1.1335979696752764E-2"/>
    <n v="1"/>
    <m/>
    <x v="1"/>
  </r>
  <r>
    <x v="2"/>
    <x v="15"/>
    <x v="36"/>
    <m/>
    <s v="INDUSTRIALES / AGRICOLAS Otros Otros otros  (cuerdas multimaterial…) "/>
    <x v="161"/>
    <n v="1"/>
    <n v="176.2"/>
    <m/>
    <m/>
    <m/>
    <m/>
    <n v="175.2"/>
    <n v="1.1401054207067074E-2"/>
    <n v="1"/>
    <m/>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4"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4">
  <location ref="A262:C427" firstHeaderRow="0" firstDataRow="1" firstDataCol="1"/>
  <pivotFields count="17">
    <pivotField showAll="0"/>
    <pivotField showAll="0"/>
    <pivotField showAll="0"/>
    <pivotField showAll="0"/>
    <pivotField showAll="0"/>
    <pivotField axis="axisRow" showAll="0" defaultSubtotal="0">
      <items count="162">
        <item x="82"/>
        <item x="86"/>
        <item x="83"/>
        <item x="84"/>
        <item x="85"/>
        <item x="94"/>
        <item x="97"/>
        <item x="96"/>
        <item x="89"/>
        <item x="91"/>
        <item x="90"/>
        <item x="88"/>
        <item x="87"/>
        <item x="93"/>
        <item x="92"/>
        <item x="57"/>
        <item x="64"/>
        <item x="65"/>
        <item x="60"/>
        <item x="61"/>
        <item x="62"/>
        <item x="63"/>
        <item x="105"/>
        <item x="104"/>
        <item x="106"/>
        <item x="103"/>
        <item x="102"/>
        <item x="107"/>
        <item x="54"/>
        <item x="55"/>
        <item x="56"/>
        <item x="78"/>
        <item x="79"/>
        <item x="80"/>
        <item x="81"/>
        <item x="68"/>
        <item x="69"/>
        <item x="70"/>
        <item x="71"/>
        <item x="66"/>
        <item x="67"/>
        <item x="74"/>
        <item x="75"/>
        <item x="76"/>
        <item x="77"/>
        <item x="72"/>
        <item x="73"/>
        <item x="95"/>
        <item x="99"/>
        <item x="98"/>
        <item x="101"/>
        <item x="100"/>
        <item x="58"/>
        <item x="59"/>
        <item x="28"/>
        <item x="32"/>
        <item x="29"/>
        <item x="30"/>
        <item x="31"/>
        <item x="40"/>
        <item x="43"/>
        <item x="42"/>
        <item x="35"/>
        <item x="37"/>
        <item x="36"/>
        <item x="34"/>
        <item x="33"/>
        <item x="39"/>
        <item x="38"/>
        <item x="3"/>
        <item x="10"/>
        <item x="11"/>
        <item x="6"/>
        <item x="7"/>
        <item x="8"/>
        <item x="9"/>
        <item x="51"/>
        <item x="50"/>
        <item x="52"/>
        <item x="49"/>
        <item x="48"/>
        <item x="53"/>
        <item x="0"/>
        <item x="1"/>
        <item x="2"/>
        <item x="24"/>
        <item x="25"/>
        <item x="26"/>
        <item x="27"/>
        <item x="14"/>
        <item x="15"/>
        <item x="16"/>
        <item x="17"/>
        <item x="12"/>
        <item x="13"/>
        <item x="20"/>
        <item x="21"/>
        <item x="22"/>
        <item x="23"/>
        <item x="18"/>
        <item x="19"/>
        <item x="41"/>
        <item x="45"/>
        <item x="44"/>
        <item x="47"/>
        <item x="46"/>
        <item x="4"/>
        <item x="5"/>
        <item x="136"/>
        <item x="140"/>
        <item x="137"/>
        <item x="138"/>
        <item x="139"/>
        <item x="148"/>
        <item x="151"/>
        <item x="150"/>
        <item x="143"/>
        <item x="145"/>
        <item x="144"/>
        <item x="142"/>
        <item x="141"/>
        <item x="147"/>
        <item x="146"/>
        <item x="111"/>
        <item x="118"/>
        <item x="119"/>
        <item x="114"/>
        <item x="115"/>
        <item x="116"/>
        <item x="117"/>
        <item x="159"/>
        <item x="158"/>
        <item x="160"/>
        <item x="157"/>
        <item x="156"/>
        <item x="161"/>
        <item x="108"/>
        <item x="109"/>
        <item x="110"/>
        <item x="132"/>
        <item x="133"/>
        <item x="134"/>
        <item x="135"/>
        <item x="122"/>
        <item x="123"/>
        <item x="124"/>
        <item x="125"/>
        <item x="120"/>
        <item x="121"/>
        <item x="128"/>
        <item x="129"/>
        <item x="130"/>
        <item x="131"/>
        <item x="126"/>
        <item x="127"/>
        <item x="149"/>
        <item x="153"/>
        <item x="152"/>
        <item x="155"/>
        <item x="154"/>
        <item x="112"/>
        <item x="113"/>
      </items>
    </pivotField>
    <pivotField showAll="0"/>
    <pivotField showAll="0"/>
    <pivotField showAll="0"/>
    <pivotField showAll="0"/>
    <pivotField showAll="0"/>
    <pivotField showAll="0"/>
    <pivotField dataField="1" showAll="0"/>
    <pivotField dataField="1" numFmtId="10" showAll="0"/>
    <pivotField showAll="0"/>
    <pivotField showAll="0"/>
    <pivotField axis="axisRow" showAll="0" defaultSubtotal="0">
      <items count="4">
        <item x="0"/>
        <item m="1" x="3"/>
        <item m="1" x="2"/>
        <item x="1"/>
      </items>
    </pivotField>
  </pivotFields>
  <rowFields count="2">
    <field x="16"/>
    <field x="5"/>
  </rowFields>
  <rowItems count="165">
    <i>
      <x/>
    </i>
    <i r="1">
      <x/>
    </i>
    <i r="1">
      <x v="1"/>
    </i>
    <i r="1">
      <x v="3"/>
    </i>
    <i r="1">
      <x v="4"/>
    </i>
    <i r="1">
      <x v="5"/>
    </i>
    <i r="1">
      <x v="6"/>
    </i>
    <i r="1">
      <x v="7"/>
    </i>
    <i r="1">
      <x v="8"/>
    </i>
    <i r="1">
      <x v="9"/>
    </i>
    <i r="1">
      <x v="10"/>
    </i>
    <i r="1">
      <x v="11"/>
    </i>
    <i r="1">
      <x v="12"/>
    </i>
    <i r="1">
      <x v="13"/>
    </i>
    <i r="1">
      <x v="14"/>
    </i>
    <i r="1">
      <x v="15"/>
    </i>
    <i r="1">
      <x v="16"/>
    </i>
    <i r="1">
      <x v="18"/>
    </i>
    <i r="1">
      <x v="20"/>
    </i>
    <i r="1">
      <x v="28"/>
    </i>
    <i r="1">
      <x v="29"/>
    </i>
    <i r="1">
      <x v="30"/>
    </i>
    <i r="1">
      <x v="31"/>
    </i>
    <i r="1">
      <x v="33"/>
    </i>
    <i r="1">
      <x v="35"/>
    </i>
    <i r="1">
      <x v="37"/>
    </i>
    <i r="1">
      <x v="39"/>
    </i>
    <i r="1">
      <x v="41"/>
    </i>
    <i r="1">
      <x v="43"/>
    </i>
    <i r="1">
      <x v="45"/>
    </i>
    <i r="1">
      <x v="47"/>
    </i>
    <i r="1">
      <x v="49"/>
    </i>
    <i r="1">
      <x v="50"/>
    </i>
    <i r="1">
      <x v="51"/>
    </i>
    <i r="1">
      <x v="52"/>
    </i>
    <i r="1">
      <x v="53"/>
    </i>
    <i r="1">
      <x v="54"/>
    </i>
    <i r="1">
      <x v="55"/>
    </i>
    <i r="1">
      <x v="57"/>
    </i>
    <i r="1">
      <x v="58"/>
    </i>
    <i r="1">
      <x v="59"/>
    </i>
    <i r="1">
      <x v="60"/>
    </i>
    <i r="1">
      <x v="61"/>
    </i>
    <i r="1">
      <x v="62"/>
    </i>
    <i r="1">
      <x v="63"/>
    </i>
    <i r="1">
      <x v="64"/>
    </i>
    <i r="1">
      <x v="65"/>
    </i>
    <i r="1">
      <x v="66"/>
    </i>
    <i r="1">
      <x v="67"/>
    </i>
    <i r="1">
      <x v="68"/>
    </i>
    <i r="1">
      <x v="69"/>
    </i>
    <i r="1">
      <x v="70"/>
    </i>
    <i r="1">
      <x v="72"/>
    </i>
    <i r="1">
      <x v="74"/>
    </i>
    <i r="1">
      <x v="82"/>
    </i>
    <i r="1">
      <x v="83"/>
    </i>
    <i r="1">
      <x v="84"/>
    </i>
    <i r="1">
      <x v="85"/>
    </i>
    <i r="1">
      <x v="87"/>
    </i>
    <i r="1">
      <x v="89"/>
    </i>
    <i r="1">
      <x v="91"/>
    </i>
    <i r="1">
      <x v="93"/>
    </i>
    <i r="1">
      <x v="95"/>
    </i>
    <i r="1">
      <x v="97"/>
    </i>
    <i r="1">
      <x v="99"/>
    </i>
    <i r="1">
      <x v="101"/>
    </i>
    <i r="1">
      <x v="103"/>
    </i>
    <i r="1">
      <x v="104"/>
    </i>
    <i r="1">
      <x v="105"/>
    </i>
    <i r="1">
      <x v="106"/>
    </i>
    <i r="1">
      <x v="107"/>
    </i>
    <i r="1">
      <x v="108"/>
    </i>
    <i r="1">
      <x v="109"/>
    </i>
    <i r="1">
      <x v="111"/>
    </i>
    <i r="1">
      <x v="112"/>
    </i>
    <i r="1">
      <x v="113"/>
    </i>
    <i r="1">
      <x v="114"/>
    </i>
    <i r="1">
      <x v="115"/>
    </i>
    <i r="1">
      <x v="116"/>
    </i>
    <i r="1">
      <x v="117"/>
    </i>
    <i r="1">
      <x v="118"/>
    </i>
    <i r="1">
      <x v="119"/>
    </i>
    <i r="1">
      <x v="120"/>
    </i>
    <i r="1">
      <x v="121"/>
    </i>
    <i r="1">
      <x v="122"/>
    </i>
    <i r="1">
      <x v="123"/>
    </i>
    <i r="1">
      <x v="124"/>
    </i>
    <i r="1">
      <x v="126"/>
    </i>
    <i r="1">
      <x v="128"/>
    </i>
    <i r="1">
      <x v="136"/>
    </i>
    <i r="1">
      <x v="137"/>
    </i>
    <i r="1">
      <x v="138"/>
    </i>
    <i r="1">
      <x v="139"/>
    </i>
    <i r="1">
      <x v="141"/>
    </i>
    <i r="1">
      <x v="143"/>
    </i>
    <i r="1">
      <x v="145"/>
    </i>
    <i r="1">
      <x v="147"/>
    </i>
    <i r="1">
      <x v="149"/>
    </i>
    <i r="1">
      <x v="151"/>
    </i>
    <i r="1">
      <x v="153"/>
    </i>
    <i r="1">
      <x v="155"/>
    </i>
    <i r="1">
      <x v="157"/>
    </i>
    <i r="1">
      <x v="158"/>
    </i>
    <i r="1">
      <x v="159"/>
    </i>
    <i r="1">
      <x v="160"/>
    </i>
    <i r="1">
      <x v="161"/>
    </i>
    <i>
      <x v="3"/>
    </i>
    <i r="1">
      <x v="2"/>
    </i>
    <i r="1">
      <x v="17"/>
    </i>
    <i r="1">
      <x v="19"/>
    </i>
    <i r="1">
      <x v="21"/>
    </i>
    <i r="1">
      <x v="22"/>
    </i>
    <i r="1">
      <x v="23"/>
    </i>
    <i r="1">
      <x v="24"/>
    </i>
    <i r="1">
      <x v="25"/>
    </i>
    <i r="1">
      <x v="26"/>
    </i>
    <i r="1">
      <x v="27"/>
    </i>
    <i r="1">
      <x v="32"/>
    </i>
    <i r="1">
      <x v="34"/>
    </i>
    <i r="1">
      <x v="36"/>
    </i>
    <i r="1">
      <x v="38"/>
    </i>
    <i r="1">
      <x v="40"/>
    </i>
    <i r="1">
      <x v="42"/>
    </i>
    <i r="1">
      <x v="44"/>
    </i>
    <i r="1">
      <x v="46"/>
    </i>
    <i r="1">
      <x v="48"/>
    </i>
    <i r="1">
      <x v="56"/>
    </i>
    <i r="1">
      <x v="71"/>
    </i>
    <i r="1">
      <x v="73"/>
    </i>
    <i r="1">
      <x v="75"/>
    </i>
    <i r="1">
      <x v="76"/>
    </i>
    <i r="1">
      <x v="77"/>
    </i>
    <i r="1">
      <x v="78"/>
    </i>
    <i r="1">
      <x v="79"/>
    </i>
    <i r="1">
      <x v="80"/>
    </i>
    <i r="1">
      <x v="81"/>
    </i>
    <i r="1">
      <x v="86"/>
    </i>
    <i r="1">
      <x v="88"/>
    </i>
    <i r="1">
      <x v="90"/>
    </i>
    <i r="1">
      <x v="92"/>
    </i>
    <i r="1">
      <x v="94"/>
    </i>
    <i r="1">
      <x v="96"/>
    </i>
    <i r="1">
      <x v="98"/>
    </i>
    <i r="1">
      <x v="100"/>
    </i>
    <i r="1">
      <x v="102"/>
    </i>
    <i r="1">
      <x v="110"/>
    </i>
    <i r="1">
      <x v="125"/>
    </i>
    <i r="1">
      <x v="127"/>
    </i>
    <i r="1">
      <x v="129"/>
    </i>
    <i r="1">
      <x v="130"/>
    </i>
    <i r="1">
      <x v="131"/>
    </i>
    <i r="1">
      <x v="132"/>
    </i>
    <i r="1">
      <x v="133"/>
    </i>
    <i r="1">
      <x v="134"/>
    </i>
    <i r="1">
      <x v="135"/>
    </i>
    <i r="1">
      <x v="140"/>
    </i>
    <i r="1">
      <x v="142"/>
    </i>
    <i r="1">
      <x v="144"/>
    </i>
    <i r="1">
      <x v="146"/>
    </i>
    <i r="1">
      <x v="148"/>
    </i>
    <i r="1">
      <x v="150"/>
    </i>
    <i r="1">
      <x v="152"/>
    </i>
    <i r="1">
      <x v="154"/>
    </i>
    <i r="1">
      <x v="156"/>
    </i>
    <i t="grand">
      <x/>
    </i>
  </rowItems>
  <colFields count="1">
    <field x="-2"/>
  </colFields>
  <colItems count="2">
    <i>
      <x/>
    </i>
    <i i="1">
      <x v="1"/>
    </i>
  </colItems>
  <dataFields count="2">
    <dataField name="Suma de TOTAL" fld="12" baseField="0" baseItem="0"/>
    <dataField name="Suma de %" fld="13" baseField="0" baseItem="0" numFmtId="9"/>
  </dataFields>
  <formats count="4">
    <format dxfId="3">
      <pivotArea outline="0" collapsedLevelsAreSubtotals="1" fieldPosition="0">
        <references count="1">
          <reference field="4294967294" count="1" selected="0">
            <x v="1"/>
          </reference>
        </references>
      </pivotArea>
    </format>
    <format dxfId="2">
      <pivotArea dataOnly="0" labelOnly="1" outline="0" fieldPosition="0">
        <references count="1">
          <reference field="4294967294" count="1">
            <x v="1"/>
          </reference>
        </references>
      </pivotArea>
    </format>
    <format dxfId="1">
      <pivotArea outline="0" collapsedLevelsAreSubtotals="1" fieldPosition="0">
        <references count="1">
          <reference field="4294967294" count="1" selected="0">
            <x v="0"/>
          </reference>
        </references>
      </pivotArea>
    </format>
    <format dxfId="0">
      <pivotArea dataOnly="0" labelOnly="1" outline="0" fieldPosition="0">
        <references count="1">
          <reference field="4294967294" count="1">
            <x v="0"/>
          </reference>
        </references>
      </pivotArea>
    </format>
  </formats>
  <chartFormats count="4">
    <chartFormat chart="0" format="2" series="1">
      <pivotArea type="data" outline="0" fieldPosition="0">
        <references count="1">
          <reference field="4294967294" count="1" selected="0">
            <x v="0"/>
          </reference>
        </references>
      </pivotArea>
    </chartFormat>
    <chartFormat chart="0" format="3" series="1">
      <pivotArea type="data" outline="0" fieldPosition="0">
        <references count="1">
          <reference field="4294967294" count="1" selected="0">
            <x v="1"/>
          </reference>
        </references>
      </pivotArea>
    </chartFormat>
    <chartFormat chart="1" format="12" series="1">
      <pivotArea type="data" outline="0" fieldPosition="0">
        <references count="1">
          <reference field="4294967294" count="1" selected="0">
            <x v="0"/>
          </reference>
        </references>
      </pivotArea>
    </chartFormat>
    <chartFormat chart="1" format="13"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Dinámica3"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4">
  <location ref="A218:C235" firstHeaderRow="0" firstDataRow="1" firstDataCol="1"/>
  <pivotFields count="17">
    <pivotField showAll="0"/>
    <pivotField axis="axisRow" showAll="0">
      <items count="17">
        <item x="7"/>
        <item x="9"/>
        <item x="11"/>
        <item x="8"/>
        <item x="1"/>
        <item x="5"/>
        <item x="3"/>
        <item x="4"/>
        <item x="15"/>
        <item x="0"/>
        <item x="6"/>
        <item x="10"/>
        <item x="12"/>
        <item x="13"/>
        <item x="14"/>
        <item x="2"/>
        <item t="default"/>
      </items>
    </pivotField>
    <pivotField showAll="0"/>
    <pivotField showAll="0"/>
    <pivotField showAll="0"/>
    <pivotField showAll="0" defaultSubtotal="0"/>
    <pivotField showAll="0"/>
    <pivotField showAll="0"/>
    <pivotField showAll="0"/>
    <pivotField showAll="0"/>
    <pivotField showAll="0"/>
    <pivotField showAll="0"/>
    <pivotField dataField="1" showAll="0"/>
    <pivotField dataField="1" numFmtId="10" showAll="0"/>
    <pivotField showAll="0"/>
    <pivotField showAll="0"/>
    <pivotField showAll="0" defaultSubtotal="0">
      <items count="4">
        <item x="0"/>
        <item m="1" x="3"/>
        <item m="1" x="2"/>
        <item h="1" x="1"/>
      </items>
    </pivotField>
  </pivotFields>
  <rowFields count="1">
    <field x="1"/>
  </rowFields>
  <rowItems count="17">
    <i>
      <x/>
    </i>
    <i>
      <x v="1"/>
    </i>
    <i>
      <x v="2"/>
    </i>
    <i>
      <x v="3"/>
    </i>
    <i>
      <x v="4"/>
    </i>
    <i>
      <x v="5"/>
    </i>
    <i>
      <x v="6"/>
    </i>
    <i>
      <x v="7"/>
    </i>
    <i>
      <x v="8"/>
    </i>
    <i>
      <x v="9"/>
    </i>
    <i>
      <x v="10"/>
    </i>
    <i>
      <x v="11"/>
    </i>
    <i>
      <x v="12"/>
    </i>
    <i>
      <x v="13"/>
    </i>
    <i>
      <x v="14"/>
    </i>
    <i>
      <x v="15"/>
    </i>
    <i t="grand">
      <x/>
    </i>
  </rowItems>
  <colFields count="1">
    <field x="-2"/>
  </colFields>
  <colItems count="2">
    <i>
      <x/>
    </i>
    <i i="1">
      <x v="1"/>
    </i>
  </colItems>
  <dataFields count="2">
    <dataField name="Suma de TOTAL" fld="12" baseField="0" baseItem="0"/>
    <dataField name="Suma de %" fld="13" baseField="0" baseItem="0" numFmtId="9"/>
  </dataFields>
  <formats count="4">
    <format dxfId="7">
      <pivotArea outline="0" collapsedLevelsAreSubtotals="1" fieldPosition="0">
        <references count="1">
          <reference field="4294967294" count="1" selected="0">
            <x v="1"/>
          </reference>
        </references>
      </pivotArea>
    </format>
    <format dxfId="6">
      <pivotArea dataOnly="0" labelOnly="1" outline="0" fieldPosition="0">
        <references count="1">
          <reference field="4294967294" count="1">
            <x v="1"/>
          </reference>
        </references>
      </pivotArea>
    </format>
    <format dxfId="5">
      <pivotArea outline="0" collapsedLevelsAreSubtotals="1" fieldPosition="0">
        <references count="1">
          <reference field="4294967294" count="1" selected="0">
            <x v="0"/>
          </reference>
        </references>
      </pivotArea>
    </format>
    <format dxfId="4">
      <pivotArea dataOnly="0" labelOnly="1" outline="0" fieldPosition="0">
        <references count="1">
          <reference field="4294967294" count="1">
            <x v="0"/>
          </reference>
        </references>
      </pivotArea>
    </format>
  </formats>
  <chartFormats count="36">
    <chartFormat chart="0" format="2" series="1">
      <pivotArea type="data" outline="0" fieldPosition="0">
        <references count="1">
          <reference field="4294967294" count="1" selected="0">
            <x v="0"/>
          </reference>
        </references>
      </pivotArea>
    </chartFormat>
    <chartFormat chart="0" format="3" series="1">
      <pivotArea type="data" outline="0" fieldPosition="0">
        <references count="1">
          <reference field="4294967294" count="1" selected="0">
            <x v="1"/>
          </reference>
        </references>
      </pivotArea>
    </chartFormat>
    <chartFormat chart="1" format="8" series="1">
      <pivotArea type="data" outline="0" fieldPosition="0">
        <references count="1">
          <reference field="4294967294" count="1" selected="0">
            <x v="0"/>
          </reference>
        </references>
      </pivotArea>
    </chartFormat>
    <chartFormat chart="1" format="9" series="1">
      <pivotArea type="data" outline="0" fieldPosition="0">
        <references count="1">
          <reference field="4294967294" count="1" selected="0">
            <x v="1"/>
          </reference>
        </references>
      </pivotArea>
    </chartFormat>
    <chartFormat chart="1" format="10">
      <pivotArea type="data" outline="0" fieldPosition="0">
        <references count="2">
          <reference field="4294967294" count="1" selected="0">
            <x v="0"/>
          </reference>
          <reference field="1" count="1" selected="0">
            <x v="0"/>
          </reference>
        </references>
      </pivotArea>
    </chartFormat>
    <chartFormat chart="1" format="11">
      <pivotArea type="data" outline="0" fieldPosition="0">
        <references count="2">
          <reference field="4294967294" count="1" selected="0">
            <x v="0"/>
          </reference>
          <reference field="1" count="1" selected="0">
            <x v="1"/>
          </reference>
        </references>
      </pivotArea>
    </chartFormat>
    <chartFormat chart="1" format="12">
      <pivotArea type="data" outline="0" fieldPosition="0">
        <references count="2">
          <reference field="4294967294" count="1" selected="0">
            <x v="0"/>
          </reference>
          <reference field="1" count="1" selected="0">
            <x v="2"/>
          </reference>
        </references>
      </pivotArea>
    </chartFormat>
    <chartFormat chart="1" format="13">
      <pivotArea type="data" outline="0" fieldPosition="0">
        <references count="2">
          <reference field="4294967294" count="1" selected="0">
            <x v="0"/>
          </reference>
          <reference field="1" count="1" selected="0">
            <x v="3"/>
          </reference>
        </references>
      </pivotArea>
    </chartFormat>
    <chartFormat chart="1" format="14">
      <pivotArea type="data" outline="0" fieldPosition="0">
        <references count="2">
          <reference field="4294967294" count="1" selected="0">
            <x v="0"/>
          </reference>
          <reference field="1" count="1" selected="0">
            <x v="4"/>
          </reference>
        </references>
      </pivotArea>
    </chartFormat>
    <chartFormat chart="1" format="15">
      <pivotArea type="data" outline="0" fieldPosition="0">
        <references count="2">
          <reference field="4294967294" count="1" selected="0">
            <x v="0"/>
          </reference>
          <reference field="1" count="1" selected="0">
            <x v="5"/>
          </reference>
        </references>
      </pivotArea>
    </chartFormat>
    <chartFormat chart="1" format="16">
      <pivotArea type="data" outline="0" fieldPosition="0">
        <references count="2">
          <reference field="4294967294" count="1" selected="0">
            <x v="0"/>
          </reference>
          <reference field="1" count="1" selected="0">
            <x v="6"/>
          </reference>
        </references>
      </pivotArea>
    </chartFormat>
    <chartFormat chart="1" format="17">
      <pivotArea type="data" outline="0" fieldPosition="0">
        <references count="2">
          <reference field="4294967294" count="1" selected="0">
            <x v="0"/>
          </reference>
          <reference field="1" count="1" selected="0">
            <x v="7"/>
          </reference>
        </references>
      </pivotArea>
    </chartFormat>
    <chartFormat chart="1" format="18">
      <pivotArea type="data" outline="0" fieldPosition="0">
        <references count="2">
          <reference field="4294967294" count="1" selected="0">
            <x v="0"/>
          </reference>
          <reference field="1" count="1" selected="0">
            <x v="8"/>
          </reference>
        </references>
      </pivotArea>
    </chartFormat>
    <chartFormat chart="1" format="19">
      <pivotArea type="data" outline="0" fieldPosition="0">
        <references count="2">
          <reference field="4294967294" count="1" selected="0">
            <x v="0"/>
          </reference>
          <reference field="1" count="1" selected="0">
            <x v="9"/>
          </reference>
        </references>
      </pivotArea>
    </chartFormat>
    <chartFormat chart="1" format="20">
      <pivotArea type="data" outline="0" fieldPosition="0">
        <references count="2">
          <reference field="4294967294" count="1" selected="0">
            <x v="0"/>
          </reference>
          <reference field="1" count="1" selected="0">
            <x v="10"/>
          </reference>
        </references>
      </pivotArea>
    </chartFormat>
    <chartFormat chart="1" format="21">
      <pivotArea type="data" outline="0" fieldPosition="0">
        <references count="2">
          <reference field="4294967294" count="1" selected="0">
            <x v="0"/>
          </reference>
          <reference field="1" count="1" selected="0">
            <x v="11"/>
          </reference>
        </references>
      </pivotArea>
    </chartFormat>
    <chartFormat chart="1" format="22">
      <pivotArea type="data" outline="0" fieldPosition="0">
        <references count="2">
          <reference field="4294967294" count="1" selected="0">
            <x v="0"/>
          </reference>
          <reference field="1" count="1" selected="0">
            <x v="12"/>
          </reference>
        </references>
      </pivotArea>
    </chartFormat>
    <chartFormat chart="1" format="23">
      <pivotArea type="data" outline="0" fieldPosition="0">
        <references count="2">
          <reference field="4294967294" count="1" selected="0">
            <x v="0"/>
          </reference>
          <reference field="1" count="1" selected="0">
            <x v="13"/>
          </reference>
        </references>
      </pivotArea>
    </chartFormat>
    <chartFormat chart="1" format="24">
      <pivotArea type="data" outline="0" fieldPosition="0">
        <references count="2">
          <reference field="4294967294" count="1" selected="0">
            <x v="0"/>
          </reference>
          <reference field="1" count="1" selected="0">
            <x v="14"/>
          </reference>
        </references>
      </pivotArea>
    </chartFormat>
    <chartFormat chart="1" format="25">
      <pivotArea type="data" outline="0" fieldPosition="0">
        <references count="2">
          <reference field="4294967294" count="1" selected="0">
            <x v="0"/>
          </reference>
          <reference field="1" count="1" selected="0">
            <x v="15"/>
          </reference>
        </references>
      </pivotArea>
    </chartFormat>
    <chartFormat chart="1" format="26">
      <pivotArea type="data" outline="0" fieldPosition="0">
        <references count="2">
          <reference field="4294967294" count="1" selected="0">
            <x v="1"/>
          </reference>
          <reference field="1" count="1" selected="0">
            <x v="0"/>
          </reference>
        </references>
      </pivotArea>
    </chartFormat>
    <chartFormat chart="1" format="27">
      <pivotArea type="data" outline="0" fieldPosition="0">
        <references count="2">
          <reference field="4294967294" count="1" selected="0">
            <x v="1"/>
          </reference>
          <reference field="1" count="1" selected="0">
            <x v="1"/>
          </reference>
        </references>
      </pivotArea>
    </chartFormat>
    <chartFormat chart="1" format="28">
      <pivotArea type="data" outline="0" fieldPosition="0">
        <references count="2">
          <reference field="4294967294" count="1" selected="0">
            <x v="1"/>
          </reference>
          <reference field="1" count="1" selected="0">
            <x v="2"/>
          </reference>
        </references>
      </pivotArea>
    </chartFormat>
    <chartFormat chart="1" format="29">
      <pivotArea type="data" outline="0" fieldPosition="0">
        <references count="2">
          <reference field="4294967294" count="1" selected="0">
            <x v="1"/>
          </reference>
          <reference field="1" count="1" selected="0">
            <x v="3"/>
          </reference>
        </references>
      </pivotArea>
    </chartFormat>
    <chartFormat chart="1" format="30">
      <pivotArea type="data" outline="0" fieldPosition="0">
        <references count="2">
          <reference field="4294967294" count="1" selected="0">
            <x v="1"/>
          </reference>
          <reference field="1" count="1" selected="0">
            <x v="4"/>
          </reference>
        </references>
      </pivotArea>
    </chartFormat>
    <chartFormat chart="1" format="31">
      <pivotArea type="data" outline="0" fieldPosition="0">
        <references count="2">
          <reference field="4294967294" count="1" selected="0">
            <x v="1"/>
          </reference>
          <reference field="1" count="1" selected="0">
            <x v="5"/>
          </reference>
        </references>
      </pivotArea>
    </chartFormat>
    <chartFormat chart="1" format="32">
      <pivotArea type="data" outline="0" fieldPosition="0">
        <references count="2">
          <reference field="4294967294" count="1" selected="0">
            <x v="1"/>
          </reference>
          <reference field="1" count="1" selected="0">
            <x v="6"/>
          </reference>
        </references>
      </pivotArea>
    </chartFormat>
    <chartFormat chart="1" format="33">
      <pivotArea type="data" outline="0" fieldPosition="0">
        <references count="2">
          <reference field="4294967294" count="1" selected="0">
            <x v="1"/>
          </reference>
          <reference field="1" count="1" selected="0">
            <x v="7"/>
          </reference>
        </references>
      </pivotArea>
    </chartFormat>
    <chartFormat chart="1" format="34">
      <pivotArea type="data" outline="0" fieldPosition="0">
        <references count="2">
          <reference field="4294967294" count="1" selected="0">
            <x v="1"/>
          </reference>
          <reference field="1" count="1" selected="0">
            <x v="8"/>
          </reference>
        </references>
      </pivotArea>
    </chartFormat>
    <chartFormat chart="1" format="35">
      <pivotArea type="data" outline="0" fieldPosition="0">
        <references count="2">
          <reference field="4294967294" count="1" selected="0">
            <x v="1"/>
          </reference>
          <reference field="1" count="1" selected="0">
            <x v="9"/>
          </reference>
        </references>
      </pivotArea>
    </chartFormat>
    <chartFormat chart="1" format="36">
      <pivotArea type="data" outline="0" fieldPosition="0">
        <references count="2">
          <reference field="4294967294" count="1" selected="0">
            <x v="1"/>
          </reference>
          <reference field="1" count="1" selected="0">
            <x v="10"/>
          </reference>
        </references>
      </pivotArea>
    </chartFormat>
    <chartFormat chart="1" format="37">
      <pivotArea type="data" outline="0" fieldPosition="0">
        <references count="2">
          <reference field="4294967294" count="1" selected="0">
            <x v="1"/>
          </reference>
          <reference field="1" count="1" selected="0">
            <x v="11"/>
          </reference>
        </references>
      </pivotArea>
    </chartFormat>
    <chartFormat chart="1" format="38">
      <pivotArea type="data" outline="0" fieldPosition="0">
        <references count="2">
          <reference field="4294967294" count="1" selected="0">
            <x v="1"/>
          </reference>
          <reference field="1" count="1" selected="0">
            <x v="12"/>
          </reference>
        </references>
      </pivotArea>
    </chartFormat>
    <chartFormat chart="1" format="39">
      <pivotArea type="data" outline="0" fieldPosition="0">
        <references count="2">
          <reference field="4294967294" count="1" selected="0">
            <x v="1"/>
          </reference>
          <reference field="1" count="1" selected="0">
            <x v="13"/>
          </reference>
        </references>
      </pivotArea>
    </chartFormat>
    <chartFormat chart="1" format="40">
      <pivotArea type="data" outline="0" fieldPosition="0">
        <references count="2">
          <reference field="4294967294" count="1" selected="0">
            <x v="1"/>
          </reference>
          <reference field="1" count="1" selected="0">
            <x v="14"/>
          </reference>
        </references>
      </pivotArea>
    </chartFormat>
    <chartFormat chart="1" format="41">
      <pivotArea type="data" outline="0" fieldPosition="0">
        <references count="2">
          <reference field="4294967294" count="1" selected="0">
            <x v="1"/>
          </reference>
          <reference field="1" count="1" selected="0">
            <x v="1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TablaDinámica2"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
  <location ref="A201:C204" firstHeaderRow="0" firstDataRow="1" firstDataCol="1"/>
  <pivotFields count="17">
    <pivotField showAll="0"/>
    <pivotField showAll="0"/>
    <pivotField showAll="0"/>
    <pivotField showAll="0"/>
    <pivotField showAll="0"/>
    <pivotField showAll="0" defaultSubtotal="0"/>
    <pivotField showAll="0"/>
    <pivotField showAll="0"/>
    <pivotField showAll="0"/>
    <pivotField showAll="0"/>
    <pivotField showAll="0"/>
    <pivotField showAll="0"/>
    <pivotField dataField="1" showAll="0"/>
    <pivotField dataField="1" numFmtId="10" showAll="0"/>
    <pivotField showAll="0"/>
    <pivotField showAll="0"/>
    <pivotField axis="axisRow" showAll="0" defaultSubtotal="0">
      <items count="4">
        <item x="0"/>
        <item m="1" x="3"/>
        <item m="1" x="2"/>
        <item x="1"/>
      </items>
    </pivotField>
  </pivotFields>
  <rowFields count="1">
    <field x="16"/>
  </rowFields>
  <rowItems count="3">
    <i>
      <x/>
    </i>
    <i>
      <x v="3"/>
    </i>
    <i t="grand">
      <x/>
    </i>
  </rowItems>
  <colFields count="1">
    <field x="-2"/>
  </colFields>
  <colItems count="2">
    <i>
      <x/>
    </i>
    <i i="1">
      <x v="1"/>
    </i>
  </colItems>
  <dataFields count="2">
    <dataField name="Suma de TOTAL" fld="12" baseField="0" baseItem="0"/>
    <dataField name="Suma de %" fld="13" baseField="0" baseItem="0" numFmtId="9"/>
  </dataFields>
  <formats count="4">
    <format dxfId="11">
      <pivotArea outline="0" collapsedLevelsAreSubtotals="1" fieldPosition="0">
        <references count="1">
          <reference field="4294967294" count="1" selected="0">
            <x v="1"/>
          </reference>
        </references>
      </pivotArea>
    </format>
    <format dxfId="10">
      <pivotArea dataOnly="0" labelOnly="1" outline="0" fieldPosition="0">
        <references count="1">
          <reference field="4294967294" count="1">
            <x v="1"/>
          </reference>
        </references>
      </pivotArea>
    </format>
    <format dxfId="9">
      <pivotArea outline="0" collapsedLevelsAreSubtotals="1" fieldPosition="0">
        <references count="1">
          <reference field="4294967294" count="1" selected="0">
            <x v="0"/>
          </reference>
        </references>
      </pivotArea>
    </format>
    <format dxfId="8">
      <pivotArea dataOnly="0" labelOnly="1" outline="0" fieldPosition="0">
        <references count="1">
          <reference field="4294967294" count="1">
            <x v="0"/>
          </reference>
        </references>
      </pivotArea>
    </format>
  </formats>
  <chartFormats count="6">
    <chartFormat chart="0" format="4" series="1">
      <pivotArea type="data" outline="0" fieldPosition="0">
        <references count="1">
          <reference field="4294967294" count="1" selected="0">
            <x v="0"/>
          </reference>
        </references>
      </pivotArea>
    </chartFormat>
    <chartFormat chart="0" format="5" series="1">
      <pivotArea type="data" outline="0" fieldPosition="0">
        <references count="1">
          <reference field="4294967294" count="1" selected="0">
            <x v="1"/>
          </reference>
        </references>
      </pivotArea>
    </chartFormat>
    <chartFormat chart="0" format="6">
      <pivotArea type="data" outline="0" fieldPosition="0">
        <references count="2">
          <reference field="4294967294" count="1" selected="0">
            <x v="0"/>
          </reference>
          <reference field="16" count="1" selected="0">
            <x v="0"/>
          </reference>
        </references>
      </pivotArea>
    </chartFormat>
    <chartFormat chart="0" format="7">
      <pivotArea type="data" outline="0" fieldPosition="0">
        <references count="2">
          <reference field="4294967294" count="1" selected="0">
            <x v="0"/>
          </reference>
          <reference field="16" count="1" selected="0">
            <x v="3"/>
          </reference>
        </references>
      </pivotArea>
    </chartFormat>
    <chartFormat chart="0" format="8">
      <pivotArea type="data" outline="0" fieldPosition="0">
        <references count="2">
          <reference field="4294967294" count="1" selected="0">
            <x v="1"/>
          </reference>
          <reference field="16" count="1" selected="0">
            <x v="0"/>
          </reference>
        </references>
      </pivotArea>
    </chartFormat>
    <chartFormat chart="0" format="9">
      <pivotArea type="data" outline="0" fieldPosition="0">
        <references count="2">
          <reference field="4294967294" count="1" selected="0">
            <x v="1"/>
          </reference>
          <reference field="16"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
  <location ref="A185:C189" firstHeaderRow="0" firstDataRow="1" firstDataCol="1"/>
  <pivotFields count="17">
    <pivotField axis="axisRow" showAll="0">
      <items count="4">
        <item x="1"/>
        <item x="0"/>
        <item x="2"/>
        <item t="default"/>
      </items>
    </pivotField>
    <pivotField showAll="0"/>
    <pivotField showAll="0"/>
    <pivotField showAll="0"/>
    <pivotField showAll="0"/>
    <pivotField showAll="0" defaultSubtotal="0"/>
    <pivotField showAll="0"/>
    <pivotField showAll="0"/>
    <pivotField showAll="0"/>
    <pivotField showAll="0"/>
    <pivotField showAll="0"/>
    <pivotField showAll="0"/>
    <pivotField dataField="1" showAll="0"/>
    <pivotField dataField="1" numFmtId="10" showAll="0"/>
    <pivotField showAll="0"/>
    <pivotField showAll="0"/>
    <pivotField showAll="0" defaultSubtotal="0"/>
  </pivotFields>
  <rowFields count="1">
    <field x="0"/>
  </rowFields>
  <rowItems count="4">
    <i>
      <x/>
    </i>
    <i>
      <x v="1"/>
    </i>
    <i>
      <x v="2"/>
    </i>
    <i t="grand">
      <x/>
    </i>
  </rowItems>
  <colFields count="1">
    <field x="-2"/>
  </colFields>
  <colItems count="2">
    <i>
      <x/>
    </i>
    <i i="1">
      <x v="1"/>
    </i>
  </colItems>
  <dataFields count="2">
    <dataField name="Suma de TOTAL" fld="12" baseField="0" baseItem="0"/>
    <dataField name="Suma de %" fld="13" baseField="0" baseItem="0" numFmtId="9"/>
  </dataFields>
  <formats count="4">
    <format dxfId="15">
      <pivotArea outline="0" collapsedLevelsAreSubtotals="1" fieldPosition="0">
        <references count="1">
          <reference field="4294967294" count="1" selected="0">
            <x v="1"/>
          </reference>
        </references>
      </pivotArea>
    </format>
    <format dxfId="14">
      <pivotArea dataOnly="0" labelOnly="1" outline="0" fieldPosition="0">
        <references count="1">
          <reference field="4294967294" count="1">
            <x v="1"/>
          </reference>
        </references>
      </pivotArea>
    </format>
    <format dxfId="13">
      <pivotArea outline="0" collapsedLevelsAreSubtotals="1" fieldPosition="0">
        <references count="1">
          <reference field="4294967294" count="1" selected="0">
            <x v="0"/>
          </reference>
        </references>
      </pivotArea>
    </format>
    <format dxfId="12">
      <pivotArea dataOnly="0" labelOnly="1" outline="0" fieldPosition="0">
        <references count="1">
          <reference field="4294967294" count="1">
            <x v="0"/>
          </reference>
        </references>
      </pivotArea>
    </format>
  </formats>
  <chartFormats count="8">
    <chartFormat chart="0" format="2" series="1">
      <pivotArea type="data" outline="0" fieldPosition="0">
        <references count="1">
          <reference field="4294967294" count="1" selected="0">
            <x v="0"/>
          </reference>
        </references>
      </pivotArea>
    </chartFormat>
    <chartFormat chart="0" format="3" series="1">
      <pivotArea type="data" outline="0" fieldPosition="0">
        <references count="1">
          <reference field="4294967294" count="1" selected="0">
            <x v="1"/>
          </reference>
        </references>
      </pivotArea>
    </chartFormat>
    <chartFormat chart="0" format="4">
      <pivotArea type="data" outline="0" fieldPosition="0">
        <references count="2">
          <reference field="4294967294" count="1" selected="0">
            <x v="0"/>
          </reference>
          <reference field="0" count="1" selected="0">
            <x v="0"/>
          </reference>
        </references>
      </pivotArea>
    </chartFormat>
    <chartFormat chart="0" format="5">
      <pivotArea type="data" outline="0" fieldPosition="0">
        <references count="2">
          <reference field="4294967294" count="1" selected="0">
            <x v="0"/>
          </reference>
          <reference field="0" count="1" selected="0">
            <x v="1"/>
          </reference>
        </references>
      </pivotArea>
    </chartFormat>
    <chartFormat chart="0" format="6">
      <pivotArea type="data" outline="0" fieldPosition="0">
        <references count="2">
          <reference field="4294967294" count="1" selected="0">
            <x v="0"/>
          </reference>
          <reference field="0" count="1" selected="0">
            <x v="2"/>
          </reference>
        </references>
      </pivotArea>
    </chartFormat>
    <chartFormat chart="0" format="7">
      <pivotArea type="data" outline="0" fieldPosition="0">
        <references count="2">
          <reference field="4294967294" count="1" selected="0">
            <x v="1"/>
          </reference>
          <reference field="0" count="1" selected="0">
            <x v="0"/>
          </reference>
        </references>
      </pivotArea>
    </chartFormat>
    <chartFormat chart="0" format="8">
      <pivotArea type="data" outline="0" fieldPosition="0">
        <references count="2">
          <reference field="4294967294" count="1" selected="0">
            <x v="1"/>
          </reference>
          <reference field="0" count="1" selected="0">
            <x v="1"/>
          </reference>
        </references>
      </pivotArea>
    </chartFormat>
    <chartFormat chart="0" format="9">
      <pivotArea type="data" outline="0" fieldPosition="0">
        <references count="2">
          <reference field="4294967294" count="1" selected="0">
            <x v="1"/>
          </reference>
          <reference field="0"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oe.es/doue/2019/155/L00001-00019.pdf" TargetMode="External"/><Relationship Id="rId1" Type="http://schemas.openxmlformats.org/officeDocument/2006/relationships/hyperlink" Target="https://www.miteco.gob.es/es/calidad-y-evaluacion-ambiental/temas/prevencion-y-gestion-residuos/flujos/domesticos/gestion/modelo_gesti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8"/>
  <sheetViews>
    <sheetView tabSelected="1" workbookViewId="0">
      <selection activeCell="J16" sqref="J16"/>
    </sheetView>
  </sheetViews>
  <sheetFormatPr baseColWidth="10" defaultRowHeight="14.4" x14ac:dyDescent="0.3"/>
  <sheetData>
    <row r="2" spans="1:1" x14ac:dyDescent="0.3">
      <c r="A2" s="236" t="s">
        <v>362</v>
      </c>
    </row>
    <row r="3" spans="1:1" x14ac:dyDescent="0.3">
      <c r="A3" t="s">
        <v>358</v>
      </c>
    </row>
    <row r="4" spans="1:1" x14ac:dyDescent="0.3">
      <c r="A4" t="s">
        <v>357</v>
      </c>
    </row>
    <row r="5" spans="1:1" x14ac:dyDescent="0.3">
      <c r="A5" t="s">
        <v>359</v>
      </c>
    </row>
    <row r="6" spans="1:1" x14ac:dyDescent="0.3">
      <c r="A6" t="s">
        <v>360</v>
      </c>
    </row>
    <row r="7" spans="1:1" x14ac:dyDescent="0.3">
      <c r="A7" t="s">
        <v>361</v>
      </c>
    </row>
    <row r="8" spans="1:1" x14ac:dyDescent="0.3">
      <c r="A8" t="s">
        <v>363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27"/>
  <sheetViews>
    <sheetView zoomScale="80" zoomScaleNormal="80" workbookViewId="0">
      <selection activeCell="I16" sqref="I16"/>
    </sheetView>
  </sheetViews>
  <sheetFormatPr baseColWidth="10" defaultColWidth="11.44140625" defaultRowHeight="13.8" x14ac:dyDescent="0.3"/>
  <cols>
    <col min="1" max="1" width="37" style="33" customWidth="1"/>
    <col min="2" max="2" width="25.5546875" style="151" customWidth="1"/>
    <col min="3" max="3" width="11" style="33" customWidth="1"/>
    <col min="4" max="4" width="47.5546875" style="33" customWidth="1"/>
    <col min="5" max="5" width="47.5546875" style="33" hidden="1" customWidth="1"/>
    <col min="6" max="6" width="47.5546875" style="33" customWidth="1"/>
    <col min="7" max="13" width="11.44140625" style="33"/>
    <col min="14" max="14" width="11.44140625" style="40"/>
    <col min="15" max="15" width="11.44140625" style="33"/>
    <col min="16" max="16" width="31.88671875" style="96" customWidth="1"/>
    <col min="17" max="17" width="12.109375" style="96" customWidth="1"/>
    <col min="18" max="16384" width="11.44140625" style="33"/>
  </cols>
  <sheetData>
    <row r="1" spans="1:17" x14ac:dyDescent="0.3">
      <c r="A1" s="43" t="s">
        <v>114</v>
      </c>
      <c r="B1" s="136" t="s">
        <v>103</v>
      </c>
    </row>
    <row r="2" spans="1:17" x14ac:dyDescent="0.3">
      <c r="A2" s="43" t="s">
        <v>110</v>
      </c>
      <c r="B2" s="137" t="s">
        <v>321</v>
      </c>
    </row>
    <row r="3" spans="1:17" ht="13.5" customHeight="1" x14ac:dyDescent="0.3">
      <c r="A3" s="43" t="s">
        <v>65</v>
      </c>
      <c r="B3" s="137" t="s">
        <v>336</v>
      </c>
    </row>
    <row r="4" spans="1:17" ht="13.5" customHeight="1" x14ac:dyDescent="0.3">
      <c r="A4" s="43" t="s">
        <v>5</v>
      </c>
      <c r="B4" s="137" t="s">
        <v>345</v>
      </c>
    </row>
    <row r="5" spans="1:17" x14ac:dyDescent="0.3">
      <c r="A5" s="43" t="s">
        <v>61</v>
      </c>
      <c r="B5" s="138">
        <v>5200</v>
      </c>
    </row>
    <row r="6" spans="1:17" ht="14.4" x14ac:dyDescent="0.3">
      <c r="A6" s="43" t="s">
        <v>7</v>
      </c>
      <c r="B6" s="139" t="s">
        <v>103</v>
      </c>
    </row>
    <row r="7" spans="1:17" ht="13.5" customHeight="1" x14ac:dyDescent="0.3">
      <c r="A7" s="43" t="s">
        <v>62</v>
      </c>
      <c r="B7" s="139" t="s">
        <v>347</v>
      </c>
    </row>
    <row r="8" spans="1:17" ht="13.5" customHeight="1" x14ac:dyDescent="0.3">
      <c r="A8" s="43" t="s">
        <v>3</v>
      </c>
      <c r="B8" s="140" t="s">
        <v>351</v>
      </c>
    </row>
    <row r="9" spans="1:17" ht="13.5" customHeight="1" x14ac:dyDescent="0.3">
      <c r="A9" s="43" t="s">
        <v>4</v>
      </c>
      <c r="B9" s="141">
        <v>45071.4375</v>
      </c>
    </row>
    <row r="10" spans="1:17" ht="13.5" customHeight="1" x14ac:dyDescent="0.3">
      <c r="A10" s="43" t="s">
        <v>6</v>
      </c>
      <c r="B10" s="139" t="s">
        <v>347</v>
      </c>
    </row>
    <row r="11" spans="1:17" ht="13.5" customHeight="1" x14ac:dyDescent="0.3">
      <c r="A11" s="43" t="s">
        <v>8</v>
      </c>
      <c r="B11" s="139" t="s">
        <v>352</v>
      </c>
    </row>
    <row r="12" spans="1:17" ht="13.5" customHeight="1" x14ac:dyDescent="0.3">
      <c r="A12" s="43" t="s">
        <v>63</v>
      </c>
      <c r="B12" s="139" t="s">
        <v>353</v>
      </c>
    </row>
    <row r="13" spans="1:17" ht="13.5" customHeight="1" x14ac:dyDescent="0.3">
      <c r="A13" s="43" t="s">
        <v>64</v>
      </c>
      <c r="B13" s="139">
        <v>0</v>
      </c>
    </row>
    <row r="14" spans="1:17" ht="13.5" customHeight="1" x14ac:dyDescent="0.3">
      <c r="A14" s="43" t="s">
        <v>111</v>
      </c>
      <c r="B14" s="139">
        <f>SUM($M$16:$M$177)</f>
        <v>15367.000000000024</v>
      </c>
    </row>
    <row r="15" spans="1:17" s="38" customFormat="1" ht="13.5" customHeight="1" x14ac:dyDescent="0.3">
      <c r="A15" s="37" t="s">
        <v>85</v>
      </c>
      <c r="B15" s="142" t="s">
        <v>86</v>
      </c>
      <c r="C15" s="37" t="s">
        <v>87</v>
      </c>
      <c r="D15" s="37" t="s">
        <v>88</v>
      </c>
      <c r="E15" s="37" t="s">
        <v>125</v>
      </c>
      <c r="F15" s="37" t="s">
        <v>350</v>
      </c>
      <c r="G15" s="37" t="s">
        <v>92</v>
      </c>
      <c r="H15" s="37" t="s">
        <v>93</v>
      </c>
      <c r="I15" s="37" t="s">
        <v>94</v>
      </c>
      <c r="J15" s="37" t="s">
        <v>95</v>
      </c>
      <c r="K15" s="37" t="s">
        <v>96</v>
      </c>
      <c r="L15" s="37" t="s">
        <v>97</v>
      </c>
      <c r="M15" s="37" t="s">
        <v>98</v>
      </c>
      <c r="N15" s="39" t="s">
        <v>13</v>
      </c>
      <c r="O15" s="37" t="s">
        <v>102</v>
      </c>
      <c r="P15" s="97" t="s">
        <v>109</v>
      </c>
      <c r="Q15" s="131" t="s">
        <v>349</v>
      </c>
    </row>
    <row r="16" spans="1:17" ht="27.6" x14ac:dyDescent="0.3">
      <c r="A16" s="43" t="s">
        <v>11</v>
      </c>
      <c r="B16" s="143" t="s">
        <v>14</v>
      </c>
      <c r="C16" s="41"/>
      <c r="D16" s="46" t="s">
        <v>15</v>
      </c>
      <c r="E16" s="46" t="str">
        <f>A16&amp;" "&amp;B16&amp;" "&amp;C16&amp;" "&amp;D16</f>
        <v>DOMÉSTICOS Papel – cartón  Papel y Cartón envase (Con Pto. Verde)</v>
      </c>
      <c r="F16" s="46" t="s">
        <v>128</v>
      </c>
      <c r="G16" s="41">
        <v>1</v>
      </c>
      <c r="H16" s="41">
        <v>15.2</v>
      </c>
      <c r="I16" s="41">
        <v>25.6</v>
      </c>
      <c r="J16" s="41"/>
      <c r="K16" s="41"/>
      <c r="L16" s="41"/>
      <c r="M16" s="41">
        <f>SUM(H16:L16)-(G16*O16)</f>
        <v>38.799999999999997</v>
      </c>
      <c r="N16" s="47">
        <f t="shared" ref="N16:N47" si="0">M16/SUM($M$16:$M$177)</f>
        <v>2.5248910001952193E-3</v>
      </c>
      <c r="O16" s="41">
        <f>COUNT(H16:L16)</f>
        <v>2</v>
      </c>
      <c r="P16" s="98"/>
      <c r="Q16" s="129" t="s">
        <v>104</v>
      </c>
    </row>
    <row r="17" spans="1:17" ht="27.6" x14ac:dyDescent="0.3">
      <c r="A17" s="43" t="s">
        <v>11</v>
      </c>
      <c r="B17" s="143" t="s">
        <v>14</v>
      </c>
      <c r="C17" s="41"/>
      <c r="D17" s="46" t="s">
        <v>16</v>
      </c>
      <c r="E17" s="46" t="str">
        <f t="shared" ref="E17:E80" si="1">A17&amp;" "&amp;B17&amp;" "&amp;C17&amp;" "&amp;D17</f>
        <v>DOMÉSTICOS Papel – cartón  Papel y Cartón envase (Sin Pto. Verde)</v>
      </c>
      <c r="F17" s="46" t="s">
        <v>129</v>
      </c>
      <c r="G17" s="41">
        <v>1</v>
      </c>
      <c r="H17" s="41">
        <f>H16+1</f>
        <v>16.2</v>
      </c>
      <c r="I17" s="41">
        <v>2</v>
      </c>
      <c r="J17" s="41">
        <v>1</v>
      </c>
      <c r="K17" s="41"/>
      <c r="L17" s="41"/>
      <c r="M17" s="41">
        <f>SUM(H17:L17)-(G17*O17)</f>
        <v>16.2</v>
      </c>
      <c r="N17" s="47">
        <f t="shared" si="0"/>
        <v>1.0542070670918184E-3</v>
      </c>
      <c r="O17" s="41">
        <f t="shared" ref="O17:O69" si="2">COUNT(H17:L17)</f>
        <v>3</v>
      </c>
      <c r="P17" s="98"/>
      <c r="Q17" s="129" t="s">
        <v>104</v>
      </c>
    </row>
    <row r="18" spans="1:17" ht="13.5" customHeight="1" x14ac:dyDescent="0.3">
      <c r="A18" s="43" t="s">
        <v>11</v>
      </c>
      <c r="B18" s="143" t="s">
        <v>14</v>
      </c>
      <c r="C18" s="41"/>
      <c r="D18" s="46" t="s">
        <v>17</v>
      </c>
      <c r="E18" s="46" t="str">
        <f t="shared" si="1"/>
        <v>DOMÉSTICOS Papel – cartón  Papel/Cartón No Envase</v>
      </c>
      <c r="F18" s="46" t="s">
        <v>130</v>
      </c>
      <c r="G18" s="41">
        <v>1</v>
      </c>
      <c r="H18" s="41">
        <f t="shared" ref="H18:H81" si="3">H17+1</f>
        <v>17.2</v>
      </c>
      <c r="I18" s="41"/>
      <c r="J18" s="41"/>
      <c r="K18" s="41"/>
      <c r="L18" s="41"/>
      <c r="M18" s="41">
        <f t="shared" ref="M18:M69" si="4">SUM(H18:L18)-(G18*O18)</f>
        <v>16.2</v>
      </c>
      <c r="N18" s="47">
        <f t="shared" si="0"/>
        <v>1.0542070670918184E-3</v>
      </c>
      <c r="O18" s="41">
        <f t="shared" si="2"/>
        <v>1</v>
      </c>
      <c r="P18" s="98"/>
      <c r="Q18" s="129" t="s">
        <v>104</v>
      </c>
    </row>
    <row r="19" spans="1:17" x14ac:dyDescent="0.3">
      <c r="A19" s="43" t="s">
        <v>11</v>
      </c>
      <c r="B19" s="144" t="s">
        <v>18</v>
      </c>
      <c r="C19" s="48"/>
      <c r="D19" s="49" t="s">
        <v>19</v>
      </c>
      <c r="E19" s="49" t="str">
        <f t="shared" si="1"/>
        <v>DOMÉSTICOS Brik  Envase</v>
      </c>
      <c r="F19" s="49" t="s">
        <v>131</v>
      </c>
      <c r="G19" s="48">
        <v>1</v>
      </c>
      <c r="H19" s="48">
        <f t="shared" si="3"/>
        <v>18.2</v>
      </c>
      <c r="I19" s="48"/>
      <c r="J19" s="48"/>
      <c r="K19" s="48"/>
      <c r="L19" s="48"/>
      <c r="M19" s="48">
        <f t="shared" si="4"/>
        <v>17.2</v>
      </c>
      <c r="N19" s="50">
        <f t="shared" si="0"/>
        <v>1.1192815774061283E-3</v>
      </c>
      <c r="O19" s="48">
        <f t="shared" si="2"/>
        <v>1</v>
      </c>
      <c r="P19" s="99"/>
      <c r="Q19" s="129" t="s">
        <v>104</v>
      </c>
    </row>
    <row r="20" spans="1:17" x14ac:dyDescent="0.3">
      <c r="A20" s="43" t="s">
        <v>11</v>
      </c>
      <c r="B20" s="145" t="s">
        <v>51</v>
      </c>
      <c r="C20" s="44"/>
      <c r="D20" s="51" t="s">
        <v>19</v>
      </c>
      <c r="E20" s="51" t="str">
        <f t="shared" si="1"/>
        <v>DOMÉSTICOS Vidrio   Envase</v>
      </c>
      <c r="F20" s="51" t="s">
        <v>132</v>
      </c>
      <c r="G20" s="44">
        <v>1</v>
      </c>
      <c r="H20" s="44">
        <f t="shared" si="3"/>
        <v>19.2</v>
      </c>
      <c r="I20" s="44"/>
      <c r="J20" s="44"/>
      <c r="K20" s="44"/>
      <c r="L20" s="44"/>
      <c r="M20" s="44">
        <f t="shared" si="4"/>
        <v>18.2</v>
      </c>
      <c r="N20" s="52">
        <f t="shared" si="0"/>
        <v>1.184356087720438E-3</v>
      </c>
      <c r="O20" s="44">
        <f t="shared" si="2"/>
        <v>1</v>
      </c>
      <c r="P20" s="100"/>
      <c r="Q20" s="129" t="s">
        <v>104</v>
      </c>
    </row>
    <row r="21" spans="1:17" x14ac:dyDescent="0.3">
      <c r="A21" s="43" t="s">
        <v>11</v>
      </c>
      <c r="B21" s="145" t="s">
        <v>51</v>
      </c>
      <c r="C21" s="44"/>
      <c r="D21" s="51" t="s">
        <v>20</v>
      </c>
      <c r="E21" s="51" t="str">
        <f t="shared" si="1"/>
        <v>DOMÉSTICOS Vidrio   No envase</v>
      </c>
      <c r="F21" s="51" t="s">
        <v>133</v>
      </c>
      <c r="G21" s="44">
        <v>1</v>
      </c>
      <c r="H21" s="44">
        <f t="shared" si="3"/>
        <v>20.2</v>
      </c>
      <c r="I21" s="44"/>
      <c r="J21" s="44"/>
      <c r="K21" s="44"/>
      <c r="L21" s="44"/>
      <c r="M21" s="44">
        <f t="shared" si="4"/>
        <v>19.2</v>
      </c>
      <c r="N21" s="52">
        <f t="shared" si="0"/>
        <v>1.2494305980347477E-3</v>
      </c>
      <c r="O21" s="44">
        <f t="shared" si="2"/>
        <v>1</v>
      </c>
      <c r="P21" s="100"/>
      <c r="Q21" s="129" t="s">
        <v>104</v>
      </c>
    </row>
    <row r="22" spans="1:17" x14ac:dyDescent="0.3">
      <c r="A22" s="43" t="s">
        <v>11</v>
      </c>
      <c r="B22" s="146" t="s">
        <v>21</v>
      </c>
      <c r="C22" s="42" t="s">
        <v>22</v>
      </c>
      <c r="D22" s="55" t="s">
        <v>19</v>
      </c>
      <c r="E22" s="55" t="str">
        <f t="shared" si="1"/>
        <v>DOMÉSTICOS Metales férricos Acero Envase</v>
      </c>
      <c r="F22" s="55" t="s">
        <v>134</v>
      </c>
      <c r="G22" s="42">
        <v>1</v>
      </c>
      <c r="H22" s="42">
        <f t="shared" si="3"/>
        <v>21.2</v>
      </c>
      <c r="I22" s="42"/>
      <c r="J22" s="42"/>
      <c r="K22" s="42"/>
      <c r="L22" s="42"/>
      <c r="M22" s="42">
        <f t="shared" si="4"/>
        <v>20.2</v>
      </c>
      <c r="N22" s="56">
        <f t="shared" si="0"/>
        <v>1.3145051083490577E-3</v>
      </c>
      <c r="O22" s="42">
        <f t="shared" si="2"/>
        <v>1</v>
      </c>
      <c r="P22" s="101"/>
      <c r="Q22" s="129" t="s">
        <v>104</v>
      </c>
    </row>
    <row r="23" spans="1:17" x14ac:dyDescent="0.3">
      <c r="A23" s="43" t="s">
        <v>11</v>
      </c>
      <c r="B23" s="146" t="s">
        <v>21</v>
      </c>
      <c r="C23" s="42" t="s">
        <v>22</v>
      </c>
      <c r="D23" s="55" t="s">
        <v>20</v>
      </c>
      <c r="E23" s="55" t="str">
        <f t="shared" si="1"/>
        <v>DOMÉSTICOS Metales férricos Acero No envase</v>
      </c>
      <c r="F23" s="55" t="s">
        <v>135</v>
      </c>
      <c r="G23" s="42">
        <v>1</v>
      </c>
      <c r="H23" s="42">
        <f t="shared" si="3"/>
        <v>22.2</v>
      </c>
      <c r="I23" s="42"/>
      <c r="J23" s="42"/>
      <c r="K23" s="42"/>
      <c r="L23" s="42"/>
      <c r="M23" s="42">
        <f t="shared" si="4"/>
        <v>21.2</v>
      </c>
      <c r="N23" s="56">
        <f t="shared" si="0"/>
        <v>1.3795796186633674E-3</v>
      </c>
      <c r="O23" s="42">
        <f t="shared" si="2"/>
        <v>1</v>
      </c>
      <c r="P23" s="101"/>
      <c r="Q23" s="92" t="s">
        <v>105</v>
      </c>
    </row>
    <row r="24" spans="1:17" x14ac:dyDescent="0.3">
      <c r="A24" s="43" t="s">
        <v>11</v>
      </c>
      <c r="B24" s="146" t="s">
        <v>23</v>
      </c>
      <c r="C24" s="42" t="s">
        <v>24</v>
      </c>
      <c r="D24" s="55" t="s">
        <v>19</v>
      </c>
      <c r="E24" s="55" t="str">
        <f t="shared" si="1"/>
        <v>DOMÉSTICOS Metales no férricos Aluminio Envase</v>
      </c>
      <c r="F24" s="55" t="s">
        <v>136</v>
      </c>
      <c r="G24" s="42">
        <v>1</v>
      </c>
      <c r="H24" s="42">
        <f t="shared" si="3"/>
        <v>23.2</v>
      </c>
      <c r="I24" s="42"/>
      <c r="J24" s="42"/>
      <c r="K24" s="42"/>
      <c r="L24" s="42"/>
      <c r="M24" s="42">
        <f t="shared" si="4"/>
        <v>22.2</v>
      </c>
      <c r="N24" s="56">
        <f t="shared" si="0"/>
        <v>1.4446541289776771E-3</v>
      </c>
      <c r="O24" s="42">
        <f t="shared" si="2"/>
        <v>1</v>
      </c>
      <c r="P24" s="101"/>
      <c r="Q24" s="129" t="s">
        <v>104</v>
      </c>
    </row>
    <row r="25" spans="1:17" x14ac:dyDescent="0.3">
      <c r="A25" s="43" t="s">
        <v>11</v>
      </c>
      <c r="B25" s="146" t="s">
        <v>23</v>
      </c>
      <c r="C25" s="42" t="s">
        <v>24</v>
      </c>
      <c r="D25" s="55" t="s">
        <v>20</v>
      </c>
      <c r="E25" s="55" t="str">
        <f t="shared" si="1"/>
        <v>DOMÉSTICOS Metales no férricos Aluminio No envase</v>
      </c>
      <c r="F25" s="55" t="s">
        <v>137</v>
      </c>
      <c r="G25" s="42">
        <v>1</v>
      </c>
      <c r="H25" s="42">
        <f t="shared" si="3"/>
        <v>24.2</v>
      </c>
      <c r="I25" s="42"/>
      <c r="J25" s="42"/>
      <c r="K25" s="42"/>
      <c r="L25" s="42"/>
      <c r="M25" s="42">
        <f t="shared" si="4"/>
        <v>23.2</v>
      </c>
      <c r="N25" s="56">
        <f t="shared" si="0"/>
        <v>1.5097286392919869E-3</v>
      </c>
      <c r="O25" s="42">
        <f t="shared" si="2"/>
        <v>1</v>
      </c>
      <c r="P25" s="101"/>
      <c r="Q25" s="92" t="s">
        <v>105</v>
      </c>
    </row>
    <row r="26" spans="1:17" x14ac:dyDescent="0.3">
      <c r="A26" s="43" t="s">
        <v>11</v>
      </c>
      <c r="B26" s="147" t="s">
        <v>25</v>
      </c>
      <c r="C26" s="57"/>
      <c r="D26" s="58" t="s">
        <v>19</v>
      </c>
      <c r="E26" s="58" t="str">
        <f t="shared" si="1"/>
        <v>DOMÉSTICOS Madera  Envase</v>
      </c>
      <c r="F26" s="58" t="s">
        <v>138</v>
      </c>
      <c r="G26" s="57">
        <v>1</v>
      </c>
      <c r="H26" s="57">
        <f t="shared" si="3"/>
        <v>25.2</v>
      </c>
      <c r="I26" s="57"/>
      <c r="J26" s="57"/>
      <c r="K26" s="57"/>
      <c r="L26" s="57"/>
      <c r="M26" s="57">
        <f t="shared" si="4"/>
        <v>24.2</v>
      </c>
      <c r="N26" s="59">
        <f t="shared" si="0"/>
        <v>1.5748031496062968E-3</v>
      </c>
      <c r="O26" s="57">
        <f t="shared" si="2"/>
        <v>1</v>
      </c>
      <c r="P26" s="102"/>
      <c r="Q26" s="129" t="s">
        <v>104</v>
      </c>
    </row>
    <row r="27" spans="1:17" x14ac:dyDescent="0.3">
      <c r="A27" s="43" t="s">
        <v>11</v>
      </c>
      <c r="B27" s="147" t="s">
        <v>25</v>
      </c>
      <c r="C27" s="57"/>
      <c r="D27" s="58" t="s">
        <v>20</v>
      </c>
      <c r="E27" s="58" t="str">
        <f t="shared" si="1"/>
        <v>DOMÉSTICOS Madera  No envase</v>
      </c>
      <c r="F27" s="58" t="s">
        <v>139</v>
      </c>
      <c r="G27" s="57">
        <v>1</v>
      </c>
      <c r="H27" s="57">
        <f t="shared" si="3"/>
        <v>26.2</v>
      </c>
      <c r="I27" s="57"/>
      <c r="J27" s="57"/>
      <c r="K27" s="57"/>
      <c r="L27" s="57"/>
      <c r="M27" s="57">
        <f t="shared" si="4"/>
        <v>25.2</v>
      </c>
      <c r="N27" s="59">
        <f t="shared" si="0"/>
        <v>1.6398776599206065E-3</v>
      </c>
      <c r="O27" s="57">
        <f t="shared" si="2"/>
        <v>1</v>
      </c>
      <c r="P27" s="102"/>
      <c r="Q27" s="92" t="s">
        <v>105</v>
      </c>
    </row>
    <row r="28" spans="1:17" x14ac:dyDescent="0.3">
      <c r="A28" s="43" t="s">
        <v>11</v>
      </c>
      <c r="B28" s="144" t="s">
        <v>89</v>
      </c>
      <c r="C28" s="49" t="s">
        <v>27</v>
      </c>
      <c r="D28" s="49" t="s">
        <v>19</v>
      </c>
      <c r="E28" s="49" t="str">
        <f t="shared" si="1"/>
        <v>DOMÉSTICOS Plásticos (excepto SUP*) PET  Envase</v>
      </c>
      <c r="F28" s="49" t="s">
        <v>140</v>
      </c>
      <c r="G28" s="48">
        <v>1</v>
      </c>
      <c r="H28" s="48">
        <f t="shared" si="3"/>
        <v>27.2</v>
      </c>
      <c r="I28" s="48"/>
      <c r="J28" s="48"/>
      <c r="K28" s="48"/>
      <c r="L28" s="48"/>
      <c r="M28" s="48">
        <f t="shared" si="4"/>
        <v>26.2</v>
      </c>
      <c r="N28" s="50">
        <f t="shared" si="0"/>
        <v>1.7049521702349163E-3</v>
      </c>
      <c r="O28" s="48">
        <f t="shared" si="2"/>
        <v>1</v>
      </c>
      <c r="P28" s="99"/>
      <c r="Q28" s="129" t="s">
        <v>104</v>
      </c>
    </row>
    <row r="29" spans="1:17" x14ac:dyDescent="0.3">
      <c r="A29" s="43" t="s">
        <v>11</v>
      </c>
      <c r="B29" s="144" t="s">
        <v>89</v>
      </c>
      <c r="C29" s="49" t="s">
        <v>27</v>
      </c>
      <c r="D29" s="49" t="s">
        <v>20</v>
      </c>
      <c r="E29" s="49" t="str">
        <f t="shared" si="1"/>
        <v>DOMÉSTICOS Plásticos (excepto SUP*) PET  No envase</v>
      </c>
      <c r="F29" s="49" t="s">
        <v>141</v>
      </c>
      <c r="G29" s="48">
        <v>1</v>
      </c>
      <c r="H29" s="48">
        <f t="shared" si="3"/>
        <v>28.2</v>
      </c>
      <c r="I29" s="48"/>
      <c r="J29" s="48"/>
      <c r="K29" s="48"/>
      <c r="L29" s="48"/>
      <c r="M29" s="48">
        <f t="shared" si="4"/>
        <v>27.2</v>
      </c>
      <c r="N29" s="50">
        <f t="shared" si="0"/>
        <v>1.7700266805492262E-3</v>
      </c>
      <c r="O29" s="48">
        <f t="shared" si="2"/>
        <v>1</v>
      </c>
      <c r="P29" s="99"/>
      <c r="Q29" s="92" t="s">
        <v>105</v>
      </c>
    </row>
    <row r="30" spans="1:17" x14ac:dyDescent="0.3">
      <c r="A30" s="43" t="s">
        <v>11</v>
      </c>
      <c r="B30" s="144" t="s">
        <v>89</v>
      </c>
      <c r="C30" s="49" t="s">
        <v>59</v>
      </c>
      <c r="D30" s="49" t="s">
        <v>19</v>
      </c>
      <c r="E30" s="49" t="str">
        <f t="shared" si="1"/>
        <v>DOMÉSTICOS Plásticos (excepto SUP*) PEAD Envase</v>
      </c>
      <c r="F30" s="49" t="s">
        <v>142</v>
      </c>
      <c r="G30" s="48">
        <v>1</v>
      </c>
      <c r="H30" s="48">
        <f t="shared" si="3"/>
        <v>29.2</v>
      </c>
      <c r="I30" s="48"/>
      <c r="J30" s="48"/>
      <c r="K30" s="48"/>
      <c r="L30" s="48"/>
      <c r="M30" s="48">
        <f t="shared" si="4"/>
        <v>28.2</v>
      </c>
      <c r="N30" s="50">
        <f t="shared" si="0"/>
        <v>1.8351011908635359E-3</v>
      </c>
      <c r="O30" s="48">
        <f t="shared" si="2"/>
        <v>1</v>
      </c>
      <c r="P30" s="99"/>
      <c r="Q30" s="129" t="s">
        <v>104</v>
      </c>
    </row>
    <row r="31" spans="1:17" x14ac:dyDescent="0.3">
      <c r="A31" s="43" t="s">
        <v>11</v>
      </c>
      <c r="B31" s="144" t="s">
        <v>89</v>
      </c>
      <c r="C31" s="49" t="s">
        <v>59</v>
      </c>
      <c r="D31" s="49" t="s">
        <v>20</v>
      </c>
      <c r="E31" s="49" t="str">
        <f t="shared" si="1"/>
        <v>DOMÉSTICOS Plásticos (excepto SUP*) PEAD No envase</v>
      </c>
      <c r="F31" s="49" t="s">
        <v>143</v>
      </c>
      <c r="G31" s="48">
        <v>1</v>
      </c>
      <c r="H31" s="48">
        <f t="shared" si="3"/>
        <v>30.2</v>
      </c>
      <c r="I31" s="48"/>
      <c r="J31" s="48"/>
      <c r="K31" s="48"/>
      <c r="L31" s="48"/>
      <c r="M31" s="48">
        <f t="shared" si="4"/>
        <v>29.2</v>
      </c>
      <c r="N31" s="50">
        <f t="shared" si="0"/>
        <v>1.9001757011778456E-3</v>
      </c>
      <c r="O31" s="48">
        <f t="shared" si="2"/>
        <v>1</v>
      </c>
      <c r="P31" s="99"/>
      <c r="Q31" s="92" t="s">
        <v>105</v>
      </c>
    </row>
    <row r="32" spans="1:17" x14ac:dyDescent="0.3">
      <c r="A32" s="43" t="s">
        <v>11</v>
      </c>
      <c r="B32" s="144" t="s">
        <v>89</v>
      </c>
      <c r="C32" s="49" t="s">
        <v>60</v>
      </c>
      <c r="D32" s="49" t="s">
        <v>19</v>
      </c>
      <c r="E32" s="49" t="str">
        <f t="shared" si="1"/>
        <v>DOMÉSTICOS Plásticos (excepto SUP*) PEBD Envase</v>
      </c>
      <c r="F32" s="49" t="s">
        <v>144</v>
      </c>
      <c r="G32" s="48">
        <v>1</v>
      </c>
      <c r="H32" s="48">
        <f t="shared" si="3"/>
        <v>31.2</v>
      </c>
      <c r="I32" s="48"/>
      <c r="J32" s="48"/>
      <c r="K32" s="48"/>
      <c r="L32" s="48"/>
      <c r="M32" s="48">
        <f t="shared" si="4"/>
        <v>30.2</v>
      </c>
      <c r="N32" s="50">
        <f t="shared" si="0"/>
        <v>1.9652502114921554E-3</v>
      </c>
      <c r="O32" s="48">
        <f t="shared" si="2"/>
        <v>1</v>
      </c>
      <c r="P32" s="99"/>
      <c r="Q32" s="129" t="s">
        <v>104</v>
      </c>
    </row>
    <row r="33" spans="1:17" x14ac:dyDescent="0.3">
      <c r="A33" s="43" t="s">
        <v>11</v>
      </c>
      <c r="B33" s="144" t="s">
        <v>89</v>
      </c>
      <c r="C33" s="49" t="s">
        <v>60</v>
      </c>
      <c r="D33" s="49" t="s">
        <v>20</v>
      </c>
      <c r="E33" s="49" t="str">
        <f t="shared" si="1"/>
        <v>DOMÉSTICOS Plásticos (excepto SUP*) PEBD No envase</v>
      </c>
      <c r="F33" s="49" t="s">
        <v>145</v>
      </c>
      <c r="G33" s="48">
        <v>1</v>
      </c>
      <c r="H33" s="48">
        <f t="shared" si="3"/>
        <v>32.200000000000003</v>
      </c>
      <c r="I33" s="48"/>
      <c r="J33" s="48"/>
      <c r="K33" s="48"/>
      <c r="L33" s="48"/>
      <c r="M33" s="48">
        <f t="shared" si="4"/>
        <v>31.200000000000003</v>
      </c>
      <c r="N33" s="50">
        <f t="shared" si="0"/>
        <v>2.0303247218064653E-3</v>
      </c>
      <c r="O33" s="48">
        <f t="shared" si="2"/>
        <v>1</v>
      </c>
      <c r="P33" s="99"/>
      <c r="Q33" s="92" t="s">
        <v>105</v>
      </c>
    </row>
    <row r="34" spans="1:17" x14ac:dyDescent="0.3">
      <c r="A34" s="43" t="s">
        <v>11</v>
      </c>
      <c r="B34" s="144" t="s">
        <v>89</v>
      </c>
      <c r="C34" s="49" t="s">
        <v>29</v>
      </c>
      <c r="D34" s="49" t="s">
        <v>19</v>
      </c>
      <c r="E34" s="49" t="str">
        <f t="shared" si="1"/>
        <v>DOMÉSTICOS Plásticos (excepto SUP*) PVC Envase</v>
      </c>
      <c r="F34" s="49" t="s">
        <v>146</v>
      </c>
      <c r="G34" s="48">
        <v>1</v>
      </c>
      <c r="H34" s="48">
        <f t="shared" si="3"/>
        <v>33.200000000000003</v>
      </c>
      <c r="I34" s="48"/>
      <c r="J34" s="48"/>
      <c r="K34" s="48"/>
      <c r="L34" s="48"/>
      <c r="M34" s="48">
        <f t="shared" si="4"/>
        <v>32.200000000000003</v>
      </c>
      <c r="N34" s="50">
        <f t="shared" si="0"/>
        <v>2.0953992321207753E-3</v>
      </c>
      <c r="O34" s="48">
        <f t="shared" si="2"/>
        <v>1</v>
      </c>
      <c r="P34" s="99"/>
      <c r="Q34" s="129" t="s">
        <v>104</v>
      </c>
    </row>
    <row r="35" spans="1:17" x14ac:dyDescent="0.3">
      <c r="A35" s="43" t="s">
        <v>11</v>
      </c>
      <c r="B35" s="144" t="s">
        <v>89</v>
      </c>
      <c r="C35" s="49" t="s">
        <v>29</v>
      </c>
      <c r="D35" s="49" t="s">
        <v>20</v>
      </c>
      <c r="E35" s="49" t="str">
        <f t="shared" si="1"/>
        <v>DOMÉSTICOS Plásticos (excepto SUP*) PVC No envase</v>
      </c>
      <c r="F35" s="49" t="s">
        <v>147</v>
      </c>
      <c r="G35" s="48">
        <v>1</v>
      </c>
      <c r="H35" s="48">
        <f t="shared" si="3"/>
        <v>34.200000000000003</v>
      </c>
      <c r="I35" s="48"/>
      <c r="J35" s="48"/>
      <c r="K35" s="48"/>
      <c r="L35" s="48"/>
      <c r="M35" s="48">
        <f t="shared" si="4"/>
        <v>33.200000000000003</v>
      </c>
      <c r="N35" s="50">
        <f t="shared" si="0"/>
        <v>2.1604737424350852E-3</v>
      </c>
      <c r="O35" s="48">
        <f t="shared" si="2"/>
        <v>1</v>
      </c>
      <c r="P35" s="99"/>
      <c r="Q35" s="92" t="s">
        <v>105</v>
      </c>
    </row>
    <row r="36" spans="1:17" x14ac:dyDescent="0.3">
      <c r="A36" s="43" t="s">
        <v>11</v>
      </c>
      <c r="B36" s="144" t="s">
        <v>89</v>
      </c>
      <c r="C36" s="49" t="s">
        <v>30</v>
      </c>
      <c r="D36" s="49" t="s">
        <v>19</v>
      </c>
      <c r="E36" s="49" t="str">
        <f t="shared" si="1"/>
        <v>DOMÉSTICOS Plásticos (excepto SUP*) PP Envase</v>
      </c>
      <c r="F36" s="49" t="s">
        <v>148</v>
      </c>
      <c r="G36" s="48">
        <v>1</v>
      </c>
      <c r="H36" s="48">
        <f t="shared" si="3"/>
        <v>35.200000000000003</v>
      </c>
      <c r="I36" s="48"/>
      <c r="J36" s="48"/>
      <c r="K36" s="48"/>
      <c r="L36" s="48"/>
      <c r="M36" s="48">
        <f t="shared" si="4"/>
        <v>34.200000000000003</v>
      </c>
      <c r="N36" s="50">
        <f t="shared" si="0"/>
        <v>2.2255482527493947E-3</v>
      </c>
      <c r="O36" s="48">
        <f t="shared" si="2"/>
        <v>1</v>
      </c>
      <c r="P36" s="99"/>
      <c r="Q36" s="129" t="s">
        <v>104</v>
      </c>
    </row>
    <row r="37" spans="1:17" x14ac:dyDescent="0.3">
      <c r="A37" s="43" t="s">
        <v>11</v>
      </c>
      <c r="B37" s="144" t="s">
        <v>89</v>
      </c>
      <c r="C37" s="49" t="s">
        <v>30</v>
      </c>
      <c r="D37" s="49" t="s">
        <v>20</v>
      </c>
      <c r="E37" s="49" t="str">
        <f t="shared" si="1"/>
        <v>DOMÉSTICOS Plásticos (excepto SUP*) PP No envase</v>
      </c>
      <c r="F37" s="49" t="s">
        <v>149</v>
      </c>
      <c r="G37" s="48">
        <v>1</v>
      </c>
      <c r="H37" s="48">
        <f t="shared" si="3"/>
        <v>36.200000000000003</v>
      </c>
      <c r="I37" s="48"/>
      <c r="J37" s="48"/>
      <c r="K37" s="48"/>
      <c r="L37" s="48"/>
      <c r="M37" s="48">
        <f t="shared" si="4"/>
        <v>35.200000000000003</v>
      </c>
      <c r="N37" s="50">
        <f t="shared" si="0"/>
        <v>2.2906227630637046E-3</v>
      </c>
      <c r="O37" s="48">
        <f t="shared" si="2"/>
        <v>1</v>
      </c>
      <c r="P37" s="99"/>
      <c r="Q37" s="92" t="s">
        <v>105</v>
      </c>
    </row>
    <row r="38" spans="1:17" ht="27.6" x14ac:dyDescent="0.3">
      <c r="A38" s="43" t="s">
        <v>11</v>
      </c>
      <c r="B38" s="144" t="s">
        <v>89</v>
      </c>
      <c r="C38" s="49" t="s">
        <v>31</v>
      </c>
      <c r="D38" s="49" t="s">
        <v>19</v>
      </c>
      <c r="E38" s="49" t="str">
        <f t="shared" si="1"/>
        <v>DOMÉSTICOS Plásticos (excepto SUP*) PS (excepto EPS) Envase</v>
      </c>
      <c r="F38" s="49" t="s">
        <v>150</v>
      </c>
      <c r="G38" s="48">
        <v>1</v>
      </c>
      <c r="H38" s="48">
        <f t="shared" si="3"/>
        <v>37.200000000000003</v>
      </c>
      <c r="I38" s="48"/>
      <c r="J38" s="48"/>
      <c r="K38" s="48"/>
      <c r="L38" s="48"/>
      <c r="M38" s="48">
        <f t="shared" si="4"/>
        <v>36.200000000000003</v>
      </c>
      <c r="N38" s="50">
        <f t="shared" si="0"/>
        <v>2.3556972733780146E-3</v>
      </c>
      <c r="O38" s="48">
        <f t="shared" si="2"/>
        <v>1</v>
      </c>
      <c r="P38" s="99"/>
      <c r="Q38" s="129" t="s">
        <v>104</v>
      </c>
    </row>
    <row r="39" spans="1:17" ht="27.6" x14ac:dyDescent="0.3">
      <c r="A39" s="43" t="s">
        <v>11</v>
      </c>
      <c r="B39" s="144" t="s">
        <v>89</v>
      </c>
      <c r="C39" s="49" t="s">
        <v>31</v>
      </c>
      <c r="D39" s="49" t="s">
        <v>20</v>
      </c>
      <c r="E39" s="49" t="str">
        <f t="shared" si="1"/>
        <v>DOMÉSTICOS Plásticos (excepto SUP*) PS (excepto EPS) No envase</v>
      </c>
      <c r="F39" s="49" t="s">
        <v>151</v>
      </c>
      <c r="G39" s="48">
        <v>1</v>
      </c>
      <c r="H39" s="60">
        <f t="shared" si="3"/>
        <v>38.200000000000003</v>
      </c>
      <c r="I39" s="60"/>
      <c r="J39" s="60"/>
      <c r="K39" s="60"/>
      <c r="L39" s="60"/>
      <c r="M39" s="48">
        <f t="shared" si="4"/>
        <v>37.200000000000003</v>
      </c>
      <c r="N39" s="50">
        <f t="shared" si="0"/>
        <v>2.4207717836923241E-3</v>
      </c>
      <c r="O39" s="48">
        <f t="shared" si="2"/>
        <v>1</v>
      </c>
      <c r="P39" s="99"/>
      <c r="Q39" s="92" t="s">
        <v>105</v>
      </c>
    </row>
    <row r="40" spans="1:17" ht="14.4" x14ac:dyDescent="0.3">
      <c r="A40" s="43" t="s">
        <v>11</v>
      </c>
      <c r="B40" s="144" t="s">
        <v>89</v>
      </c>
      <c r="C40" s="49" t="s">
        <v>32</v>
      </c>
      <c r="D40" s="49" t="s">
        <v>19</v>
      </c>
      <c r="E40" s="49" t="str">
        <f t="shared" si="1"/>
        <v>DOMÉSTICOS Plásticos (excepto SUP*) EPS Envase</v>
      </c>
      <c r="F40" s="49" t="s">
        <v>152</v>
      </c>
      <c r="G40" s="48">
        <v>1</v>
      </c>
      <c r="H40" s="60">
        <f t="shared" si="3"/>
        <v>39.200000000000003</v>
      </c>
      <c r="I40" s="60"/>
      <c r="J40" s="60"/>
      <c r="K40" s="60"/>
      <c r="L40" s="60"/>
      <c r="M40" s="48">
        <f t="shared" si="4"/>
        <v>38.200000000000003</v>
      </c>
      <c r="N40" s="50">
        <f t="shared" si="0"/>
        <v>2.485846294006634E-3</v>
      </c>
      <c r="O40" s="48">
        <f t="shared" si="2"/>
        <v>1</v>
      </c>
      <c r="P40" s="99"/>
      <c r="Q40" s="129" t="s">
        <v>104</v>
      </c>
    </row>
    <row r="41" spans="1:17" ht="14.4" x14ac:dyDescent="0.3">
      <c r="A41" s="43" t="s">
        <v>11</v>
      </c>
      <c r="B41" s="144" t="s">
        <v>89</v>
      </c>
      <c r="C41" s="49" t="s">
        <v>32</v>
      </c>
      <c r="D41" s="49" t="s">
        <v>20</v>
      </c>
      <c r="E41" s="49" t="str">
        <f t="shared" si="1"/>
        <v>DOMÉSTICOS Plásticos (excepto SUP*) EPS No envase</v>
      </c>
      <c r="F41" s="49" t="s">
        <v>153</v>
      </c>
      <c r="G41" s="48">
        <v>1</v>
      </c>
      <c r="H41" s="60">
        <f t="shared" si="3"/>
        <v>40.200000000000003</v>
      </c>
      <c r="I41" s="60"/>
      <c r="J41" s="60"/>
      <c r="K41" s="60"/>
      <c r="L41" s="60"/>
      <c r="M41" s="48">
        <f t="shared" si="4"/>
        <v>39.200000000000003</v>
      </c>
      <c r="N41" s="50">
        <f t="shared" si="0"/>
        <v>2.5509208043209435E-3</v>
      </c>
      <c r="O41" s="48">
        <f t="shared" si="2"/>
        <v>1</v>
      </c>
      <c r="P41" s="99"/>
      <c r="Q41" s="92" t="s">
        <v>105</v>
      </c>
    </row>
    <row r="42" spans="1:17" ht="27.6" x14ac:dyDescent="0.3">
      <c r="A42" s="43" t="s">
        <v>11</v>
      </c>
      <c r="B42" s="144" t="s">
        <v>89</v>
      </c>
      <c r="C42" s="49" t="s">
        <v>33</v>
      </c>
      <c r="D42" s="49" t="s">
        <v>19</v>
      </c>
      <c r="E42" s="49" t="str">
        <f t="shared" si="1"/>
        <v>DOMÉSTICOS Plásticos (excepto SUP*) Otros Plásticos Envase</v>
      </c>
      <c r="F42" s="49" t="s">
        <v>154</v>
      </c>
      <c r="G42" s="48">
        <v>1</v>
      </c>
      <c r="H42" s="60">
        <f t="shared" si="3"/>
        <v>41.2</v>
      </c>
      <c r="I42" s="60"/>
      <c r="J42" s="60"/>
      <c r="K42" s="60"/>
      <c r="L42" s="60"/>
      <c r="M42" s="48">
        <f t="shared" si="4"/>
        <v>40.200000000000003</v>
      </c>
      <c r="N42" s="50">
        <f t="shared" si="0"/>
        <v>2.6159953146352535E-3</v>
      </c>
      <c r="O42" s="48">
        <f t="shared" si="2"/>
        <v>1</v>
      </c>
      <c r="P42" s="99"/>
      <c r="Q42" s="129" t="s">
        <v>104</v>
      </c>
    </row>
    <row r="43" spans="1:17" ht="27.6" x14ac:dyDescent="0.3">
      <c r="A43" s="43" t="s">
        <v>11</v>
      </c>
      <c r="B43" s="144" t="s">
        <v>89</v>
      </c>
      <c r="C43" s="49" t="s">
        <v>33</v>
      </c>
      <c r="D43" s="49" t="s">
        <v>20</v>
      </c>
      <c r="E43" s="49" t="str">
        <f t="shared" si="1"/>
        <v>DOMÉSTICOS Plásticos (excepto SUP*) Otros Plásticos No envase</v>
      </c>
      <c r="F43" s="49" t="s">
        <v>155</v>
      </c>
      <c r="G43" s="48">
        <v>1</v>
      </c>
      <c r="H43" s="60">
        <f t="shared" si="3"/>
        <v>42.2</v>
      </c>
      <c r="I43" s="60"/>
      <c r="J43" s="60"/>
      <c r="K43" s="60"/>
      <c r="L43" s="60"/>
      <c r="M43" s="48">
        <f t="shared" si="4"/>
        <v>41.2</v>
      </c>
      <c r="N43" s="50">
        <f t="shared" si="0"/>
        <v>2.6810698249495634E-3</v>
      </c>
      <c r="O43" s="48">
        <f t="shared" si="2"/>
        <v>1</v>
      </c>
      <c r="P43" s="99"/>
      <c r="Q43" s="92" t="s">
        <v>105</v>
      </c>
    </row>
    <row r="44" spans="1:17" ht="12.75" customHeight="1" x14ac:dyDescent="0.3">
      <c r="A44" s="43" t="s">
        <v>11</v>
      </c>
      <c r="B44" s="144" t="s">
        <v>34</v>
      </c>
      <c r="C44" s="61" t="s">
        <v>35</v>
      </c>
      <c r="D44" s="61"/>
      <c r="E44" s="61" t="str">
        <f t="shared" si="1"/>
        <v xml:space="preserve">DOMÉSTICOS * Plásticos de un solo uso (SUP) [iii] Botellas para bebidas de hasta tres litros de capacidad, incluidos sus tapas y tapones </v>
      </c>
      <c r="F44" s="61" t="s">
        <v>156</v>
      </c>
      <c r="G44" s="48">
        <v>1</v>
      </c>
      <c r="H44" s="60">
        <f t="shared" si="3"/>
        <v>43.2</v>
      </c>
      <c r="I44" s="60"/>
      <c r="J44" s="60"/>
      <c r="K44" s="60"/>
      <c r="L44" s="60"/>
      <c r="M44" s="48">
        <f t="shared" si="4"/>
        <v>42.2</v>
      </c>
      <c r="N44" s="50">
        <f t="shared" si="0"/>
        <v>2.7461443352638729E-3</v>
      </c>
      <c r="O44" s="48">
        <f t="shared" si="2"/>
        <v>1</v>
      </c>
      <c r="P44" s="103"/>
      <c r="Q44" s="129" t="s">
        <v>104</v>
      </c>
    </row>
    <row r="45" spans="1:17" ht="12.75" customHeight="1" x14ac:dyDescent="0.3">
      <c r="A45" s="43" t="s">
        <v>11</v>
      </c>
      <c r="B45" s="144" t="s">
        <v>34</v>
      </c>
      <c r="C45" s="49" t="s">
        <v>36</v>
      </c>
      <c r="D45" s="49"/>
      <c r="E45" s="49" t="str">
        <f t="shared" si="1"/>
        <v xml:space="preserve">DOMÉSTICOS * Plásticos de un solo uso (SUP) [iii] Productos de tabaco con filtro y fitros comercializados para utilizarse en combinación con productos del tabaco </v>
      </c>
      <c r="F45" s="49" t="s">
        <v>157</v>
      </c>
      <c r="G45" s="48">
        <v>1</v>
      </c>
      <c r="H45" s="60">
        <f t="shared" si="3"/>
        <v>44.2</v>
      </c>
      <c r="I45" s="60"/>
      <c r="J45" s="60"/>
      <c r="K45" s="60"/>
      <c r="L45" s="60"/>
      <c r="M45" s="48">
        <f t="shared" si="4"/>
        <v>43.2</v>
      </c>
      <c r="N45" s="50">
        <f t="shared" si="0"/>
        <v>2.8112188455781829E-3</v>
      </c>
      <c r="O45" s="48">
        <f t="shared" si="2"/>
        <v>1</v>
      </c>
      <c r="P45" s="99"/>
      <c r="Q45" s="92" t="s">
        <v>105</v>
      </c>
    </row>
    <row r="46" spans="1:17" ht="14.4" x14ac:dyDescent="0.3">
      <c r="A46" s="43" t="s">
        <v>11</v>
      </c>
      <c r="B46" s="144" t="s">
        <v>34</v>
      </c>
      <c r="C46" s="62" t="s">
        <v>37</v>
      </c>
      <c r="D46" s="62"/>
      <c r="E46" s="62" t="str">
        <f t="shared" si="1"/>
        <v xml:space="preserve">DOMÉSTICOS * Plásticos de un solo uso (SUP) [iii] Recipientes para alimentos </v>
      </c>
      <c r="F46" s="62" t="s">
        <v>158</v>
      </c>
      <c r="G46" s="48">
        <v>1</v>
      </c>
      <c r="H46" s="60">
        <f t="shared" si="3"/>
        <v>45.2</v>
      </c>
      <c r="I46" s="60"/>
      <c r="J46" s="60"/>
      <c r="K46" s="60"/>
      <c r="L46" s="60"/>
      <c r="M46" s="48">
        <f t="shared" si="4"/>
        <v>44.2</v>
      </c>
      <c r="N46" s="50">
        <f t="shared" si="0"/>
        <v>2.8762933558924928E-3</v>
      </c>
      <c r="O46" s="48">
        <f t="shared" si="2"/>
        <v>1</v>
      </c>
      <c r="P46" s="104"/>
      <c r="Q46" s="129" t="s">
        <v>104</v>
      </c>
    </row>
    <row r="47" spans="1:17" ht="12.75" customHeight="1" x14ac:dyDescent="0.3">
      <c r="A47" s="43" t="s">
        <v>11</v>
      </c>
      <c r="B47" s="144" t="s">
        <v>34</v>
      </c>
      <c r="C47" s="63" t="s">
        <v>38</v>
      </c>
      <c r="D47" s="63"/>
      <c r="E47" s="63" t="str">
        <f t="shared" si="1"/>
        <v xml:space="preserve">DOMÉSTICOS * Plásticos de un solo uso (SUP) [iii] Vasos para bebidas (incluidas sus tapas y tapones) </v>
      </c>
      <c r="F47" s="63" t="s">
        <v>159</v>
      </c>
      <c r="G47" s="48">
        <v>1</v>
      </c>
      <c r="H47" s="60">
        <f t="shared" si="3"/>
        <v>46.2</v>
      </c>
      <c r="I47" s="60"/>
      <c r="J47" s="60"/>
      <c r="K47" s="60"/>
      <c r="L47" s="60"/>
      <c r="M47" s="48">
        <f t="shared" si="4"/>
        <v>45.2</v>
      </c>
      <c r="N47" s="50">
        <f t="shared" si="0"/>
        <v>2.9413678662068023E-3</v>
      </c>
      <c r="O47" s="48">
        <f t="shared" si="2"/>
        <v>1</v>
      </c>
      <c r="P47" s="105"/>
      <c r="Q47" s="129" t="s">
        <v>104</v>
      </c>
    </row>
    <row r="48" spans="1:17" ht="14.4" x14ac:dyDescent="0.3">
      <c r="A48" s="43" t="s">
        <v>11</v>
      </c>
      <c r="B48" s="144" t="s">
        <v>34</v>
      </c>
      <c r="C48" s="63" t="s">
        <v>41</v>
      </c>
      <c r="D48" s="63"/>
      <c r="E48" s="63" t="str">
        <f t="shared" si="1"/>
        <v xml:space="preserve">DOMÉSTICOS * Plásticos de un solo uso (SUP) [iii] Otros </v>
      </c>
      <c r="F48" s="63" t="s">
        <v>160</v>
      </c>
      <c r="G48" s="48">
        <v>1</v>
      </c>
      <c r="H48" s="60">
        <f t="shared" si="3"/>
        <v>47.2</v>
      </c>
      <c r="I48" s="60"/>
      <c r="J48" s="60"/>
      <c r="K48" s="60"/>
      <c r="L48" s="60"/>
      <c r="M48" s="48">
        <f t="shared" si="4"/>
        <v>46.2</v>
      </c>
      <c r="N48" s="50">
        <f t="shared" ref="N48:N79" si="5">M48/SUM($M$16:$M$177)</f>
        <v>3.0064423765211123E-3</v>
      </c>
      <c r="O48" s="48">
        <f t="shared" si="2"/>
        <v>1</v>
      </c>
      <c r="P48" s="105"/>
      <c r="Q48" s="129" t="s">
        <v>104</v>
      </c>
    </row>
    <row r="49" spans="1:17" ht="12.75" customHeight="1" x14ac:dyDescent="0.3">
      <c r="A49" s="43" t="s">
        <v>11</v>
      </c>
      <c r="B49" s="148" t="s">
        <v>39</v>
      </c>
      <c r="C49" s="67" t="s">
        <v>66</v>
      </c>
      <c r="D49" s="67"/>
      <c r="E49" s="67" t="str">
        <f t="shared" si="1"/>
        <v xml:space="preserve">DOMÉSTICOS Biorresiduos Restos de alimentos no cocinados y restos derivados de la preparación de alimentos </v>
      </c>
      <c r="F49" s="67" t="s">
        <v>161</v>
      </c>
      <c r="G49" s="66">
        <v>1</v>
      </c>
      <c r="H49" s="68">
        <f t="shared" si="3"/>
        <v>48.2</v>
      </c>
      <c r="I49" s="68"/>
      <c r="J49" s="68"/>
      <c r="K49" s="68"/>
      <c r="L49" s="68"/>
      <c r="M49" s="66">
        <f t="shared" si="4"/>
        <v>47.2</v>
      </c>
      <c r="N49" s="69">
        <f t="shared" si="5"/>
        <v>3.0715168868354222E-3</v>
      </c>
      <c r="O49" s="66">
        <f t="shared" si="2"/>
        <v>1</v>
      </c>
      <c r="P49" s="106"/>
      <c r="Q49" s="129" t="s">
        <v>104</v>
      </c>
    </row>
    <row r="50" spans="1:17" ht="41.4" x14ac:dyDescent="0.3">
      <c r="A50" s="43" t="s">
        <v>11</v>
      </c>
      <c r="B50" s="148" t="s">
        <v>39</v>
      </c>
      <c r="C50" s="67" t="s">
        <v>67</v>
      </c>
      <c r="D50" s="67"/>
      <c r="E50" s="67" t="str">
        <f t="shared" si="1"/>
        <v xml:space="preserve">DOMÉSTICOS Biorresiduos Restos de alimentos cocinados </v>
      </c>
      <c r="F50" s="67" t="s">
        <v>162</v>
      </c>
      <c r="G50" s="66">
        <v>1</v>
      </c>
      <c r="H50" s="68">
        <f t="shared" si="3"/>
        <v>49.2</v>
      </c>
      <c r="I50" s="68"/>
      <c r="J50" s="68"/>
      <c r="K50" s="68"/>
      <c r="L50" s="68"/>
      <c r="M50" s="66">
        <f t="shared" si="4"/>
        <v>48.2</v>
      </c>
      <c r="N50" s="69">
        <f t="shared" si="5"/>
        <v>3.1365913971497317E-3</v>
      </c>
      <c r="O50" s="66">
        <f t="shared" si="2"/>
        <v>1</v>
      </c>
      <c r="P50" s="106"/>
      <c r="Q50" s="129" t="s">
        <v>104</v>
      </c>
    </row>
    <row r="51" spans="1:17" ht="12.75" customHeight="1" x14ac:dyDescent="0.3">
      <c r="A51" s="43" t="s">
        <v>11</v>
      </c>
      <c r="B51" s="148" t="s">
        <v>39</v>
      </c>
      <c r="C51" s="67" t="s">
        <v>68</v>
      </c>
      <c r="D51" s="67"/>
      <c r="E51" s="67" t="str">
        <f t="shared" si="1"/>
        <v xml:space="preserve">DOMÉSTICOS Biorresiduos Celulosas: Papel de cocina, servilletas </v>
      </c>
      <c r="F51" s="67" t="s">
        <v>163</v>
      </c>
      <c r="G51" s="66">
        <v>1</v>
      </c>
      <c r="H51" s="68">
        <f t="shared" si="3"/>
        <v>50.2</v>
      </c>
      <c r="I51" s="68"/>
      <c r="J51" s="68"/>
      <c r="K51" s="68"/>
      <c r="L51" s="68"/>
      <c r="M51" s="66">
        <f t="shared" si="4"/>
        <v>49.2</v>
      </c>
      <c r="N51" s="69">
        <f t="shared" si="5"/>
        <v>3.2016659074640417E-3</v>
      </c>
      <c r="O51" s="66">
        <f t="shared" si="2"/>
        <v>1</v>
      </c>
      <c r="P51" s="106"/>
      <c r="Q51" s="129" t="s">
        <v>104</v>
      </c>
    </row>
    <row r="52" spans="1:17" ht="12.75" customHeight="1" x14ac:dyDescent="0.3">
      <c r="A52" s="43" t="s">
        <v>11</v>
      </c>
      <c r="B52" s="148" t="s">
        <v>39</v>
      </c>
      <c r="C52" s="67" t="s">
        <v>81</v>
      </c>
      <c r="D52" s="67"/>
      <c r="E52" s="67" t="str">
        <f t="shared" si="1"/>
        <v xml:space="preserve">DOMÉSTICOS Biorresiduos Otros restos de cocina compostables: bolsas, corchos, palillos de madera y otros resto compostables (vasos de papel, etc.) </v>
      </c>
      <c r="F52" s="67" t="s">
        <v>164</v>
      </c>
      <c r="G52" s="66">
        <v>1</v>
      </c>
      <c r="H52" s="66">
        <f t="shared" si="3"/>
        <v>51.2</v>
      </c>
      <c r="I52" s="66"/>
      <c r="J52" s="66"/>
      <c r="K52" s="66"/>
      <c r="L52" s="66"/>
      <c r="M52" s="66">
        <f t="shared" si="4"/>
        <v>50.2</v>
      </c>
      <c r="N52" s="69">
        <f t="shared" si="5"/>
        <v>3.2667404177783516E-3</v>
      </c>
      <c r="O52" s="66">
        <f t="shared" si="2"/>
        <v>1</v>
      </c>
      <c r="P52" s="106"/>
      <c r="Q52" s="129" t="s">
        <v>104</v>
      </c>
    </row>
    <row r="53" spans="1:17" ht="12.75" customHeight="1" x14ac:dyDescent="0.3">
      <c r="A53" s="43" t="s">
        <v>11</v>
      </c>
      <c r="B53" s="148" t="s">
        <v>39</v>
      </c>
      <c r="C53" s="67" t="s">
        <v>69</v>
      </c>
      <c r="D53" s="67"/>
      <c r="E53" s="67" t="str">
        <f t="shared" si="1"/>
        <v xml:space="preserve">DOMÉSTICOS Biorresiduos Derroche alimentario: alimentos caducados y en mal estado (a granel o en envases abiertos, el envase se separará en su fracción) </v>
      </c>
      <c r="F53" s="67" t="s">
        <v>165</v>
      </c>
      <c r="G53" s="66">
        <v>1</v>
      </c>
      <c r="H53" s="66">
        <f t="shared" si="3"/>
        <v>52.2</v>
      </c>
      <c r="I53" s="66"/>
      <c r="J53" s="66"/>
      <c r="K53" s="66"/>
      <c r="L53" s="66"/>
      <c r="M53" s="66">
        <f t="shared" si="4"/>
        <v>51.2</v>
      </c>
      <c r="N53" s="69">
        <f t="shared" si="5"/>
        <v>3.3318149280926611E-3</v>
      </c>
      <c r="O53" s="66">
        <f t="shared" si="2"/>
        <v>1</v>
      </c>
      <c r="P53" s="106"/>
      <c r="Q53" s="129" t="s">
        <v>104</v>
      </c>
    </row>
    <row r="54" spans="1:17" ht="12.75" customHeight="1" x14ac:dyDescent="0.3">
      <c r="A54" s="43" t="s">
        <v>11</v>
      </c>
      <c r="B54" s="148" t="s">
        <v>39</v>
      </c>
      <c r="C54" s="67" t="s">
        <v>71</v>
      </c>
      <c r="D54" s="67"/>
      <c r="E54" s="67" t="str">
        <f t="shared" si="1"/>
        <v xml:space="preserve">DOMÉSTICOS Biorresiduos Restos vegetales (césped, hojas, flores, etc.) </v>
      </c>
      <c r="F54" s="67" t="s">
        <v>166</v>
      </c>
      <c r="G54" s="66">
        <v>1</v>
      </c>
      <c r="H54" s="66">
        <f t="shared" si="3"/>
        <v>53.2</v>
      </c>
      <c r="I54" s="66"/>
      <c r="J54" s="66"/>
      <c r="K54" s="66"/>
      <c r="L54" s="66"/>
      <c r="M54" s="66">
        <f t="shared" si="4"/>
        <v>52.2</v>
      </c>
      <c r="N54" s="69">
        <f t="shared" si="5"/>
        <v>3.396889438406971E-3</v>
      </c>
      <c r="O54" s="66">
        <f t="shared" si="2"/>
        <v>1</v>
      </c>
      <c r="P54" s="106"/>
      <c r="Q54" s="129" t="s">
        <v>104</v>
      </c>
    </row>
    <row r="55" spans="1:17" ht="12.75" customHeight="1" x14ac:dyDescent="0.3">
      <c r="A55" s="43" t="s">
        <v>11</v>
      </c>
      <c r="B55" s="148" t="s">
        <v>39</v>
      </c>
      <c r="C55" s="67" t="s">
        <v>72</v>
      </c>
      <c r="D55" s="67"/>
      <c r="E55" s="67" t="str">
        <f t="shared" si="1"/>
        <v xml:space="preserve">DOMÉSTICOS Biorresiduos Restos de poda (ramas, arbustos, etc.) </v>
      </c>
      <c r="F55" s="67" t="s">
        <v>167</v>
      </c>
      <c r="G55" s="66">
        <v>1</v>
      </c>
      <c r="H55" s="66">
        <f t="shared" si="3"/>
        <v>54.2</v>
      </c>
      <c r="I55" s="66"/>
      <c r="J55" s="66"/>
      <c r="K55" s="66"/>
      <c r="L55" s="66"/>
      <c r="M55" s="66">
        <f t="shared" si="4"/>
        <v>53.2</v>
      </c>
      <c r="N55" s="69">
        <f t="shared" si="5"/>
        <v>3.4619639487212805E-3</v>
      </c>
      <c r="O55" s="66">
        <f t="shared" si="2"/>
        <v>1</v>
      </c>
      <c r="P55" s="106"/>
      <c r="Q55" s="129" t="s">
        <v>104</v>
      </c>
    </row>
    <row r="56" spans="1:17" ht="12.75" customHeight="1" x14ac:dyDescent="0.3">
      <c r="A56" s="43" t="s">
        <v>11</v>
      </c>
      <c r="B56" s="65" t="s">
        <v>84</v>
      </c>
      <c r="C56" s="64" t="s">
        <v>70</v>
      </c>
      <c r="D56" s="64"/>
      <c r="E56" s="64" t="str">
        <f t="shared" si="1"/>
        <v xml:space="preserve">DOMÉSTICOS ACEITE Aceite de cocina usados (contenidos en envases) </v>
      </c>
      <c r="F56" s="64" t="s">
        <v>168</v>
      </c>
      <c r="G56" s="53">
        <v>1</v>
      </c>
      <c r="H56" s="53">
        <f t="shared" si="3"/>
        <v>55.2</v>
      </c>
      <c r="I56" s="53"/>
      <c r="J56" s="53"/>
      <c r="K56" s="53"/>
      <c r="L56" s="53"/>
      <c r="M56" s="53">
        <f t="shared" si="4"/>
        <v>54.2</v>
      </c>
      <c r="N56" s="54">
        <f t="shared" si="5"/>
        <v>3.5270384590355905E-3</v>
      </c>
      <c r="O56" s="53">
        <f t="shared" si="2"/>
        <v>1</v>
      </c>
      <c r="P56" s="107"/>
      <c r="Q56" s="129" t="s">
        <v>104</v>
      </c>
    </row>
    <row r="57" spans="1:17" x14ac:dyDescent="0.3">
      <c r="A57" s="43" t="s">
        <v>11</v>
      </c>
      <c r="B57" s="70" t="s">
        <v>91</v>
      </c>
      <c r="C57" s="71" t="s">
        <v>58</v>
      </c>
      <c r="D57" s="71"/>
      <c r="E57" s="71" t="str">
        <f t="shared" si="1"/>
        <v xml:space="preserve">DOMÉSTICOS RAEE [iv] RAEE  </v>
      </c>
      <c r="F57" s="71" t="s">
        <v>169</v>
      </c>
      <c r="G57" s="72">
        <v>1</v>
      </c>
      <c r="H57" s="72">
        <f t="shared" si="3"/>
        <v>56.2</v>
      </c>
      <c r="I57" s="72"/>
      <c r="J57" s="72"/>
      <c r="K57" s="72"/>
      <c r="L57" s="72"/>
      <c r="M57" s="72">
        <f t="shared" si="4"/>
        <v>55.2</v>
      </c>
      <c r="N57" s="73">
        <f t="shared" si="5"/>
        <v>3.5921129693499004E-3</v>
      </c>
      <c r="O57" s="72">
        <f t="shared" si="2"/>
        <v>1</v>
      </c>
      <c r="P57" s="108"/>
      <c r="Q57" s="129" t="s">
        <v>104</v>
      </c>
    </row>
    <row r="58" spans="1:17" ht="41.4" x14ac:dyDescent="0.3">
      <c r="A58" s="43" t="s">
        <v>11</v>
      </c>
      <c r="B58" s="70" t="s">
        <v>73</v>
      </c>
      <c r="C58" s="71" t="s">
        <v>42</v>
      </c>
      <c r="D58" s="71"/>
      <c r="E58" s="71" t="str">
        <f t="shared" si="1"/>
        <v xml:space="preserve">DOMÉSTICOS Baterias Pilas y Acumuladores </v>
      </c>
      <c r="F58" s="71" t="s">
        <v>170</v>
      </c>
      <c r="G58" s="72">
        <v>1</v>
      </c>
      <c r="H58" s="72">
        <f t="shared" si="3"/>
        <v>57.2</v>
      </c>
      <c r="I58" s="72"/>
      <c r="J58" s="72"/>
      <c r="K58" s="72"/>
      <c r="L58" s="72"/>
      <c r="M58" s="72">
        <f t="shared" si="4"/>
        <v>56.2</v>
      </c>
      <c r="N58" s="73">
        <f t="shared" si="5"/>
        <v>3.6571874796642099E-3</v>
      </c>
      <c r="O58" s="72">
        <f t="shared" si="2"/>
        <v>1</v>
      </c>
      <c r="P58" s="108"/>
      <c r="Q58" s="129" t="s">
        <v>104</v>
      </c>
    </row>
    <row r="59" spans="1:17" ht="27.6" x14ac:dyDescent="0.3">
      <c r="A59" s="43" t="s">
        <v>11</v>
      </c>
      <c r="B59" s="70" t="s">
        <v>73</v>
      </c>
      <c r="C59" s="71" t="s">
        <v>43</v>
      </c>
      <c r="D59" s="71"/>
      <c r="E59" s="71" t="str">
        <f t="shared" si="1"/>
        <v xml:space="preserve">DOMÉSTICOS Baterias Baterías de Vehículos </v>
      </c>
      <c r="F59" s="71" t="s">
        <v>171</v>
      </c>
      <c r="G59" s="72">
        <v>1</v>
      </c>
      <c r="H59" s="72">
        <f t="shared" si="3"/>
        <v>58.2</v>
      </c>
      <c r="I59" s="72"/>
      <c r="J59" s="72"/>
      <c r="K59" s="72"/>
      <c r="L59" s="72"/>
      <c r="M59" s="72">
        <f t="shared" si="4"/>
        <v>57.2</v>
      </c>
      <c r="N59" s="73">
        <f t="shared" si="5"/>
        <v>3.7222619899785199E-3</v>
      </c>
      <c r="O59" s="72">
        <f t="shared" si="2"/>
        <v>1</v>
      </c>
      <c r="P59" s="108"/>
      <c r="Q59" s="129" t="s">
        <v>104</v>
      </c>
    </row>
    <row r="60" spans="1:17" ht="27.6" x14ac:dyDescent="0.3">
      <c r="A60" s="43" t="s">
        <v>11</v>
      </c>
      <c r="B60" s="84" t="s">
        <v>74</v>
      </c>
      <c r="C60" s="85" t="s">
        <v>44</v>
      </c>
      <c r="D60" s="85"/>
      <c r="E60" s="85" t="str">
        <f t="shared" si="1"/>
        <v xml:space="preserve">DOMÉSTICOS Textiles Textiles y piel </v>
      </c>
      <c r="F60" s="85" t="s">
        <v>172</v>
      </c>
      <c r="G60" s="86">
        <v>1</v>
      </c>
      <c r="H60" s="86">
        <f t="shared" si="3"/>
        <v>59.2</v>
      </c>
      <c r="I60" s="86"/>
      <c r="J60" s="86"/>
      <c r="K60" s="86"/>
      <c r="L60" s="86"/>
      <c r="M60" s="86">
        <f t="shared" si="4"/>
        <v>58.2</v>
      </c>
      <c r="N60" s="87">
        <f t="shared" si="5"/>
        <v>3.7873365002928298E-3</v>
      </c>
      <c r="O60" s="86">
        <f t="shared" si="2"/>
        <v>1</v>
      </c>
      <c r="P60" s="109"/>
      <c r="Q60" s="129" t="s">
        <v>104</v>
      </c>
    </row>
    <row r="61" spans="1:17" ht="12.75" customHeight="1" x14ac:dyDescent="0.3">
      <c r="A61" s="43" t="s">
        <v>11</v>
      </c>
      <c r="B61" s="75" t="s">
        <v>75</v>
      </c>
      <c r="C61" s="76" t="s">
        <v>45</v>
      </c>
      <c r="D61" s="76"/>
      <c r="E61" s="76" t="str">
        <f t="shared" si="1"/>
        <v xml:space="preserve">DOMÉSTICOS Textiles sanitarios Textiles y celulósicos sanitarios </v>
      </c>
      <c r="F61" s="76" t="s">
        <v>173</v>
      </c>
      <c r="G61" s="77">
        <v>1</v>
      </c>
      <c r="H61" s="77">
        <f t="shared" si="3"/>
        <v>60.2</v>
      </c>
      <c r="I61" s="77"/>
      <c r="J61" s="77"/>
      <c r="K61" s="77"/>
      <c r="L61" s="77"/>
      <c r="M61" s="77">
        <f t="shared" si="4"/>
        <v>59.2</v>
      </c>
      <c r="N61" s="78">
        <f t="shared" si="5"/>
        <v>3.8524110106071393E-3</v>
      </c>
      <c r="O61" s="77">
        <f t="shared" si="2"/>
        <v>1</v>
      </c>
      <c r="P61" s="110"/>
      <c r="Q61" s="92" t="s">
        <v>105</v>
      </c>
    </row>
    <row r="62" spans="1:17" ht="27.6" x14ac:dyDescent="0.3">
      <c r="A62" s="43" t="s">
        <v>11</v>
      </c>
      <c r="B62" s="149" t="s">
        <v>76</v>
      </c>
      <c r="C62" s="80" t="s">
        <v>48</v>
      </c>
      <c r="D62" s="80"/>
      <c r="E62" s="80" t="str">
        <f t="shared" si="1"/>
        <v xml:space="preserve">DOMÉSTICOS Tierras y RCDs Tierras y Escombros </v>
      </c>
      <c r="F62" s="80" t="s">
        <v>174</v>
      </c>
      <c r="G62" s="81">
        <v>1</v>
      </c>
      <c r="H62" s="81">
        <f t="shared" si="3"/>
        <v>61.2</v>
      </c>
      <c r="I62" s="81"/>
      <c r="J62" s="81"/>
      <c r="K62" s="81"/>
      <c r="L62" s="81"/>
      <c r="M62" s="81">
        <f t="shared" si="4"/>
        <v>60.2</v>
      </c>
      <c r="N62" s="82">
        <f t="shared" si="5"/>
        <v>3.9174855209214493E-3</v>
      </c>
      <c r="O62" s="81">
        <f t="shared" si="2"/>
        <v>1</v>
      </c>
      <c r="P62" s="111"/>
      <c r="Q62" s="129" t="s">
        <v>104</v>
      </c>
    </row>
    <row r="63" spans="1:17" ht="41.4" x14ac:dyDescent="0.3">
      <c r="A63" s="43" t="s">
        <v>11</v>
      </c>
      <c r="B63" s="149" t="s">
        <v>76</v>
      </c>
      <c r="C63" s="80" t="s">
        <v>77</v>
      </c>
      <c r="D63" s="80"/>
      <c r="E63" s="80" t="str">
        <f t="shared" si="1"/>
        <v xml:space="preserve">DOMÉSTICOS Tierras y RCDs Restos de obras menores </v>
      </c>
      <c r="F63" s="80" t="s">
        <v>175</v>
      </c>
      <c r="G63" s="81">
        <v>1</v>
      </c>
      <c r="H63" s="81">
        <f t="shared" si="3"/>
        <v>62.2</v>
      </c>
      <c r="I63" s="81"/>
      <c r="J63" s="81"/>
      <c r="K63" s="81"/>
      <c r="L63" s="81"/>
      <c r="M63" s="81">
        <f t="shared" si="4"/>
        <v>61.2</v>
      </c>
      <c r="N63" s="82">
        <f t="shared" si="5"/>
        <v>3.9825600312357592E-3</v>
      </c>
      <c r="O63" s="81">
        <f t="shared" si="2"/>
        <v>1</v>
      </c>
      <c r="P63" s="111"/>
      <c r="Q63" s="129" t="s">
        <v>104</v>
      </c>
    </row>
    <row r="64" spans="1:17" ht="12.75" customHeight="1" x14ac:dyDescent="0.3">
      <c r="A64" s="43" t="s">
        <v>11</v>
      </c>
      <c r="B64" s="149" t="s">
        <v>41</v>
      </c>
      <c r="C64" s="83" t="s">
        <v>78</v>
      </c>
      <c r="D64" s="83"/>
      <c r="E64" s="83" t="str">
        <f t="shared" si="1"/>
        <v xml:space="preserve">DOMÉSTICOS Otros Inclasificables mayores de 50 mm </v>
      </c>
      <c r="F64" s="83" t="s">
        <v>176</v>
      </c>
      <c r="G64" s="81">
        <v>1</v>
      </c>
      <c r="H64" s="81">
        <f t="shared" si="3"/>
        <v>63.2</v>
      </c>
      <c r="I64" s="81"/>
      <c r="J64" s="81"/>
      <c r="K64" s="81"/>
      <c r="L64" s="81"/>
      <c r="M64" s="81">
        <f t="shared" si="4"/>
        <v>62.2</v>
      </c>
      <c r="N64" s="82">
        <f t="shared" si="5"/>
        <v>4.0476345415500692E-3</v>
      </c>
      <c r="O64" s="81">
        <f t="shared" si="2"/>
        <v>1</v>
      </c>
      <c r="P64" s="112"/>
      <c r="Q64" s="92" t="s">
        <v>105</v>
      </c>
    </row>
    <row r="65" spans="1:17" ht="12.75" customHeight="1" x14ac:dyDescent="0.3">
      <c r="A65" s="43" t="s">
        <v>11</v>
      </c>
      <c r="B65" s="149" t="s">
        <v>41</v>
      </c>
      <c r="C65" s="83" t="s">
        <v>79</v>
      </c>
      <c r="D65" s="83"/>
      <c r="E65" s="83" t="str">
        <f t="shared" si="1"/>
        <v xml:space="preserve">DOMÉSTICOS Otros Finos &lt; 50 mm (si &gt; 2kg*, se hará una analitica en laboratorio) </v>
      </c>
      <c r="F65" s="83" t="s">
        <v>177</v>
      </c>
      <c r="G65" s="81">
        <v>1</v>
      </c>
      <c r="H65" s="81">
        <f t="shared" si="3"/>
        <v>64.2</v>
      </c>
      <c r="I65" s="81"/>
      <c r="J65" s="81"/>
      <c r="K65" s="81"/>
      <c r="L65" s="81"/>
      <c r="M65" s="81">
        <f t="shared" si="4"/>
        <v>63.2</v>
      </c>
      <c r="N65" s="82">
        <f t="shared" si="5"/>
        <v>4.1127090518643782E-3</v>
      </c>
      <c r="O65" s="81">
        <f t="shared" si="2"/>
        <v>1</v>
      </c>
      <c r="P65" s="112"/>
      <c r="Q65" s="92" t="s">
        <v>105</v>
      </c>
    </row>
    <row r="66" spans="1:17" ht="12.75" customHeight="1" x14ac:dyDescent="0.3">
      <c r="A66" s="43" t="s">
        <v>11</v>
      </c>
      <c r="B66" s="149" t="s">
        <v>41</v>
      </c>
      <c r="C66" s="83" t="s">
        <v>46</v>
      </c>
      <c r="D66" s="83"/>
      <c r="E66" s="83" t="str">
        <f t="shared" si="1"/>
        <v xml:space="preserve">DOMÉSTICOS Otros Cantidad de Producto en Envases (Sólido) </v>
      </c>
      <c r="F66" s="83" t="s">
        <v>178</v>
      </c>
      <c r="G66" s="81">
        <v>1</v>
      </c>
      <c r="H66" s="81">
        <f t="shared" si="3"/>
        <v>65.2</v>
      </c>
      <c r="I66" s="81"/>
      <c r="J66" s="81"/>
      <c r="K66" s="81"/>
      <c r="L66" s="81"/>
      <c r="M66" s="81">
        <f t="shared" si="4"/>
        <v>64.2</v>
      </c>
      <c r="N66" s="82">
        <f t="shared" si="5"/>
        <v>4.1777835621786882E-3</v>
      </c>
      <c r="O66" s="81">
        <f t="shared" si="2"/>
        <v>1</v>
      </c>
      <c r="P66" s="112"/>
      <c r="Q66" s="92" t="s">
        <v>105</v>
      </c>
    </row>
    <row r="67" spans="1:17" ht="12.75" customHeight="1" x14ac:dyDescent="0.3">
      <c r="A67" s="43" t="s">
        <v>11</v>
      </c>
      <c r="B67" s="149" t="s">
        <v>41</v>
      </c>
      <c r="C67" s="83" t="s">
        <v>47</v>
      </c>
      <c r="D67" s="83"/>
      <c r="E67" s="83" t="str">
        <f t="shared" si="1"/>
        <v xml:space="preserve">DOMÉSTICOS Otros Cantidad de Producto en Envases (líquido-no aceite) </v>
      </c>
      <c r="F67" s="83" t="s">
        <v>179</v>
      </c>
      <c r="G67" s="81">
        <v>1</v>
      </c>
      <c r="H67" s="81">
        <f t="shared" si="3"/>
        <v>66.2</v>
      </c>
      <c r="I67" s="81"/>
      <c r="J67" s="81"/>
      <c r="K67" s="81"/>
      <c r="L67" s="81"/>
      <c r="M67" s="81">
        <f t="shared" si="4"/>
        <v>65.2</v>
      </c>
      <c r="N67" s="82">
        <f t="shared" si="5"/>
        <v>4.2428580724929981E-3</v>
      </c>
      <c r="O67" s="81">
        <f t="shared" si="2"/>
        <v>1</v>
      </c>
      <c r="P67" s="112"/>
      <c r="Q67" s="92" t="s">
        <v>105</v>
      </c>
    </row>
    <row r="68" spans="1:17" x14ac:dyDescent="0.3">
      <c r="A68" s="43" t="s">
        <v>11</v>
      </c>
      <c r="B68" s="149" t="s">
        <v>41</v>
      </c>
      <c r="C68" s="80" t="s">
        <v>49</v>
      </c>
      <c r="D68" s="80"/>
      <c r="E68" s="80" t="str">
        <f t="shared" si="1"/>
        <v xml:space="preserve">DOMÉSTICOS Otros Caucho </v>
      </c>
      <c r="F68" s="80" t="s">
        <v>180</v>
      </c>
      <c r="G68" s="81">
        <v>1</v>
      </c>
      <c r="H68" s="81">
        <f t="shared" si="3"/>
        <v>67.2</v>
      </c>
      <c r="I68" s="81"/>
      <c r="J68" s="81"/>
      <c r="K68" s="81"/>
      <c r="L68" s="81"/>
      <c r="M68" s="81">
        <f t="shared" si="4"/>
        <v>66.2</v>
      </c>
      <c r="N68" s="82">
        <f t="shared" si="5"/>
        <v>4.3079325828073081E-3</v>
      </c>
      <c r="O68" s="81">
        <f t="shared" si="2"/>
        <v>1</v>
      </c>
      <c r="P68" s="111"/>
      <c r="Q68" s="92" t="s">
        <v>105</v>
      </c>
    </row>
    <row r="69" spans="1:17" ht="12.75" customHeight="1" x14ac:dyDescent="0.3">
      <c r="A69" s="43" t="s">
        <v>11</v>
      </c>
      <c r="B69" s="149" t="s">
        <v>41</v>
      </c>
      <c r="C69" s="83" t="s">
        <v>80</v>
      </c>
      <c r="D69" s="83"/>
      <c r="E69" s="83" t="str">
        <f t="shared" si="1"/>
        <v xml:space="preserve">DOMÉSTICOS Otros Otros otros  (cuerdas multimaterial…) </v>
      </c>
      <c r="F69" s="83" t="s">
        <v>181</v>
      </c>
      <c r="G69" s="81">
        <v>1</v>
      </c>
      <c r="H69" s="81">
        <f t="shared" si="3"/>
        <v>68.2</v>
      </c>
      <c r="I69" s="81"/>
      <c r="J69" s="81"/>
      <c r="K69" s="81"/>
      <c r="L69" s="81"/>
      <c r="M69" s="81">
        <f t="shared" si="4"/>
        <v>67.2</v>
      </c>
      <c r="N69" s="82">
        <f t="shared" si="5"/>
        <v>4.373007093121618E-3</v>
      </c>
      <c r="O69" s="81">
        <f t="shared" si="2"/>
        <v>1</v>
      </c>
      <c r="P69" s="112"/>
      <c r="Q69" s="92" t="s">
        <v>105</v>
      </c>
    </row>
    <row r="70" spans="1:17" ht="27.6" x14ac:dyDescent="0.3">
      <c r="A70" s="45" t="s">
        <v>82</v>
      </c>
      <c r="B70" s="143" t="s">
        <v>14</v>
      </c>
      <c r="C70" s="41"/>
      <c r="D70" s="46" t="s">
        <v>15</v>
      </c>
      <c r="E70" s="46" t="str">
        <f t="shared" si="1"/>
        <v>COMERCIALES Papel – cartón  Papel y Cartón envase (Con Pto. Verde)</v>
      </c>
      <c r="F70" s="46" t="s">
        <v>182</v>
      </c>
      <c r="G70" s="41">
        <v>1</v>
      </c>
      <c r="H70" s="41">
        <f t="shared" si="3"/>
        <v>69.2</v>
      </c>
      <c r="I70" s="41"/>
      <c r="J70" s="41"/>
      <c r="K70" s="41"/>
      <c r="L70" s="41"/>
      <c r="M70" s="41">
        <f>SUM(H70:L70)-(G70*O70)</f>
        <v>68.2</v>
      </c>
      <c r="N70" s="47">
        <f t="shared" si="5"/>
        <v>4.4380816034359279E-3</v>
      </c>
      <c r="O70" s="41">
        <f>COUNT(H70:L70)</f>
        <v>1</v>
      </c>
      <c r="P70" s="98"/>
      <c r="Q70" s="129" t="s">
        <v>104</v>
      </c>
    </row>
    <row r="71" spans="1:17" ht="27.6" x14ac:dyDescent="0.3">
      <c r="A71" s="45" t="s">
        <v>82</v>
      </c>
      <c r="B71" s="143" t="s">
        <v>14</v>
      </c>
      <c r="C71" s="41"/>
      <c r="D71" s="46" t="s">
        <v>16</v>
      </c>
      <c r="E71" s="46" t="str">
        <f t="shared" si="1"/>
        <v>COMERCIALES Papel – cartón  Papel y Cartón envase (Sin Pto. Verde)</v>
      </c>
      <c r="F71" s="46" t="s">
        <v>183</v>
      </c>
      <c r="G71" s="41">
        <v>1</v>
      </c>
      <c r="H71" s="41">
        <f t="shared" si="3"/>
        <v>70.2</v>
      </c>
      <c r="I71" s="41"/>
      <c r="J71" s="41"/>
      <c r="K71" s="41"/>
      <c r="L71" s="41"/>
      <c r="M71" s="41">
        <f>SUM(H71:L71)-(G71*O71)</f>
        <v>69.2</v>
      </c>
      <c r="N71" s="47">
        <f t="shared" si="5"/>
        <v>4.503156113750237E-3</v>
      </c>
      <c r="O71" s="41">
        <f t="shared" ref="O71:O123" si="6">COUNT(H71:L71)</f>
        <v>1</v>
      </c>
      <c r="P71" s="98"/>
      <c r="Q71" s="129" t="s">
        <v>104</v>
      </c>
    </row>
    <row r="72" spans="1:17" x14ac:dyDescent="0.3">
      <c r="A72" s="45" t="s">
        <v>82</v>
      </c>
      <c r="B72" s="143" t="s">
        <v>14</v>
      </c>
      <c r="C72" s="41"/>
      <c r="D72" s="46" t="s">
        <v>17</v>
      </c>
      <c r="E72" s="46" t="str">
        <f t="shared" si="1"/>
        <v>COMERCIALES Papel – cartón  Papel/Cartón No Envase</v>
      </c>
      <c r="F72" s="46" t="s">
        <v>184</v>
      </c>
      <c r="G72" s="41">
        <v>1</v>
      </c>
      <c r="H72" s="41">
        <f t="shared" si="3"/>
        <v>71.2</v>
      </c>
      <c r="I72" s="41"/>
      <c r="J72" s="41"/>
      <c r="K72" s="41"/>
      <c r="L72" s="41"/>
      <c r="M72" s="41">
        <f t="shared" ref="M72:M123" si="7">SUM(H72:L72)-(G72*O72)</f>
        <v>70.2</v>
      </c>
      <c r="N72" s="47">
        <f t="shared" si="5"/>
        <v>4.5682306240645469E-3</v>
      </c>
      <c r="O72" s="41">
        <f t="shared" si="6"/>
        <v>1</v>
      </c>
      <c r="P72" s="98"/>
      <c r="Q72" s="129" t="s">
        <v>104</v>
      </c>
    </row>
    <row r="73" spans="1:17" x14ac:dyDescent="0.3">
      <c r="A73" s="45" t="s">
        <v>82</v>
      </c>
      <c r="B73" s="144" t="s">
        <v>18</v>
      </c>
      <c r="C73" s="48"/>
      <c r="D73" s="49" t="s">
        <v>19</v>
      </c>
      <c r="E73" s="49" t="str">
        <f t="shared" si="1"/>
        <v>COMERCIALES Brik  Envase</v>
      </c>
      <c r="F73" s="49" t="s">
        <v>185</v>
      </c>
      <c r="G73" s="48">
        <v>1</v>
      </c>
      <c r="H73" s="48">
        <f t="shared" si="3"/>
        <v>72.2</v>
      </c>
      <c r="I73" s="48"/>
      <c r="J73" s="48"/>
      <c r="K73" s="48"/>
      <c r="L73" s="48"/>
      <c r="M73" s="48">
        <f t="shared" si="7"/>
        <v>71.2</v>
      </c>
      <c r="N73" s="50">
        <f t="shared" si="5"/>
        <v>4.6333051343788569E-3</v>
      </c>
      <c r="O73" s="48">
        <f t="shared" si="6"/>
        <v>1</v>
      </c>
      <c r="P73" s="99"/>
      <c r="Q73" s="129" t="s">
        <v>104</v>
      </c>
    </row>
    <row r="74" spans="1:17" x14ac:dyDescent="0.3">
      <c r="A74" s="45" t="s">
        <v>82</v>
      </c>
      <c r="B74" s="145" t="s">
        <v>51</v>
      </c>
      <c r="C74" s="44"/>
      <c r="D74" s="51" t="s">
        <v>19</v>
      </c>
      <c r="E74" s="51" t="str">
        <f t="shared" si="1"/>
        <v>COMERCIALES Vidrio   Envase</v>
      </c>
      <c r="F74" s="51" t="s">
        <v>186</v>
      </c>
      <c r="G74" s="44">
        <v>1</v>
      </c>
      <c r="H74" s="44">
        <f t="shared" si="3"/>
        <v>73.2</v>
      </c>
      <c r="I74" s="44"/>
      <c r="J74" s="44"/>
      <c r="K74" s="44"/>
      <c r="L74" s="44"/>
      <c r="M74" s="44">
        <f t="shared" si="7"/>
        <v>72.2</v>
      </c>
      <c r="N74" s="52">
        <f t="shared" si="5"/>
        <v>4.6983796446931668E-3</v>
      </c>
      <c r="O74" s="44">
        <f t="shared" si="6"/>
        <v>1</v>
      </c>
      <c r="P74" s="100"/>
      <c r="Q74" s="129" t="s">
        <v>104</v>
      </c>
    </row>
    <row r="75" spans="1:17" x14ac:dyDescent="0.3">
      <c r="A75" s="45" t="s">
        <v>82</v>
      </c>
      <c r="B75" s="145" t="s">
        <v>51</v>
      </c>
      <c r="C75" s="44"/>
      <c r="D75" s="51" t="s">
        <v>20</v>
      </c>
      <c r="E75" s="51" t="str">
        <f t="shared" si="1"/>
        <v>COMERCIALES Vidrio   No envase</v>
      </c>
      <c r="F75" s="51" t="s">
        <v>187</v>
      </c>
      <c r="G75" s="44">
        <v>1</v>
      </c>
      <c r="H75" s="44">
        <f t="shared" si="3"/>
        <v>74.2</v>
      </c>
      <c r="I75" s="44"/>
      <c r="J75" s="44"/>
      <c r="K75" s="44"/>
      <c r="L75" s="44"/>
      <c r="M75" s="44">
        <f t="shared" si="7"/>
        <v>73.2</v>
      </c>
      <c r="N75" s="52">
        <f t="shared" si="5"/>
        <v>4.7634541550074768E-3</v>
      </c>
      <c r="O75" s="44">
        <f t="shared" si="6"/>
        <v>1</v>
      </c>
      <c r="P75" s="100"/>
      <c r="Q75" s="129" t="s">
        <v>104</v>
      </c>
    </row>
    <row r="76" spans="1:17" x14ac:dyDescent="0.3">
      <c r="A76" s="45" t="s">
        <v>82</v>
      </c>
      <c r="B76" s="146" t="s">
        <v>21</v>
      </c>
      <c r="C76" s="42" t="s">
        <v>22</v>
      </c>
      <c r="D76" s="55" t="s">
        <v>19</v>
      </c>
      <c r="E76" s="55" t="str">
        <f t="shared" si="1"/>
        <v>COMERCIALES Metales férricos Acero Envase</v>
      </c>
      <c r="F76" s="55" t="s">
        <v>188</v>
      </c>
      <c r="G76" s="42">
        <v>1</v>
      </c>
      <c r="H76" s="42">
        <f t="shared" si="3"/>
        <v>75.2</v>
      </c>
      <c r="I76" s="42"/>
      <c r="J76" s="42"/>
      <c r="K76" s="42"/>
      <c r="L76" s="42"/>
      <c r="M76" s="42">
        <f t="shared" si="7"/>
        <v>74.2</v>
      </c>
      <c r="N76" s="56">
        <f t="shared" si="5"/>
        <v>4.8285286653217858E-3</v>
      </c>
      <c r="O76" s="42">
        <f t="shared" si="6"/>
        <v>1</v>
      </c>
      <c r="P76" s="101"/>
      <c r="Q76" s="129" t="s">
        <v>104</v>
      </c>
    </row>
    <row r="77" spans="1:17" x14ac:dyDescent="0.3">
      <c r="A77" s="45" t="s">
        <v>82</v>
      </c>
      <c r="B77" s="146" t="s">
        <v>21</v>
      </c>
      <c r="C77" s="42" t="s">
        <v>22</v>
      </c>
      <c r="D77" s="55" t="s">
        <v>20</v>
      </c>
      <c r="E77" s="55" t="str">
        <f t="shared" si="1"/>
        <v>COMERCIALES Metales férricos Acero No envase</v>
      </c>
      <c r="F77" s="55" t="s">
        <v>189</v>
      </c>
      <c r="G77" s="42">
        <v>1</v>
      </c>
      <c r="H77" s="42">
        <f t="shared" si="3"/>
        <v>76.2</v>
      </c>
      <c r="I77" s="42"/>
      <c r="J77" s="42"/>
      <c r="K77" s="42"/>
      <c r="L77" s="42"/>
      <c r="M77" s="42">
        <f t="shared" si="7"/>
        <v>75.2</v>
      </c>
      <c r="N77" s="56">
        <f t="shared" si="5"/>
        <v>4.8936031756360958E-3</v>
      </c>
      <c r="O77" s="42">
        <f t="shared" si="6"/>
        <v>1</v>
      </c>
      <c r="P77" s="101"/>
      <c r="Q77" s="92" t="s">
        <v>105</v>
      </c>
    </row>
    <row r="78" spans="1:17" x14ac:dyDescent="0.3">
      <c r="A78" s="45" t="s">
        <v>82</v>
      </c>
      <c r="B78" s="146" t="s">
        <v>23</v>
      </c>
      <c r="C78" s="42" t="s">
        <v>24</v>
      </c>
      <c r="D78" s="55" t="s">
        <v>19</v>
      </c>
      <c r="E78" s="55" t="str">
        <f t="shared" si="1"/>
        <v>COMERCIALES Metales no férricos Aluminio Envase</v>
      </c>
      <c r="F78" s="55" t="s">
        <v>190</v>
      </c>
      <c r="G78" s="42">
        <v>1</v>
      </c>
      <c r="H78" s="42">
        <f t="shared" si="3"/>
        <v>77.2</v>
      </c>
      <c r="I78" s="42"/>
      <c r="J78" s="42"/>
      <c r="K78" s="42"/>
      <c r="L78" s="42"/>
      <c r="M78" s="42">
        <f t="shared" si="7"/>
        <v>76.2</v>
      </c>
      <c r="N78" s="56">
        <f t="shared" si="5"/>
        <v>4.9586776859504057E-3</v>
      </c>
      <c r="O78" s="42">
        <f t="shared" si="6"/>
        <v>1</v>
      </c>
      <c r="P78" s="101"/>
      <c r="Q78" s="129" t="s">
        <v>104</v>
      </c>
    </row>
    <row r="79" spans="1:17" x14ac:dyDescent="0.3">
      <c r="A79" s="45" t="s">
        <v>82</v>
      </c>
      <c r="B79" s="146" t="s">
        <v>23</v>
      </c>
      <c r="C79" s="42" t="s">
        <v>24</v>
      </c>
      <c r="D79" s="55" t="s">
        <v>20</v>
      </c>
      <c r="E79" s="55" t="str">
        <f t="shared" si="1"/>
        <v>COMERCIALES Metales no férricos Aluminio No envase</v>
      </c>
      <c r="F79" s="55" t="s">
        <v>191</v>
      </c>
      <c r="G79" s="42">
        <v>1</v>
      </c>
      <c r="H79" s="42">
        <f t="shared" si="3"/>
        <v>78.2</v>
      </c>
      <c r="I79" s="42"/>
      <c r="J79" s="42"/>
      <c r="K79" s="42"/>
      <c r="L79" s="42"/>
      <c r="M79" s="42">
        <f t="shared" si="7"/>
        <v>77.2</v>
      </c>
      <c r="N79" s="56">
        <f t="shared" si="5"/>
        <v>5.0237521962647157E-3</v>
      </c>
      <c r="O79" s="42">
        <f t="shared" si="6"/>
        <v>1</v>
      </c>
      <c r="P79" s="101"/>
      <c r="Q79" s="92" t="s">
        <v>105</v>
      </c>
    </row>
    <row r="80" spans="1:17" x14ac:dyDescent="0.3">
      <c r="A80" s="45" t="s">
        <v>82</v>
      </c>
      <c r="B80" s="147" t="s">
        <v>25</v>
      </c>
      <c r="C80" s="57"/>
      <c r="D80" s="58" t="s">
        <v>19</v>
      </c>
      <c r="E80" s="58" t="str">
        <f t="shared" si="1"/>
        <v>COMERCIALES Madera  Envase</v>
      </c>
      <c r="F80" s="58" t="s">
        <v>192</v>
      </c>
      <c r="G80" s="57">
        <v>1</v>
      </c>
      <c r="H80" s="57">
        <f t="shared" si="3"/>
        <v>79.2</v>
      </c>
      <c r="I80" s="57"/>
      <c r="J80" s="57"/>
      <c r="K80" s="57"/>
      <c r="L80" s="57"/>
      <c r="M80" s="57">
        <f t="shared" si="7"/>
        <v>78.2</v>
      </c>
      <c r="N80" s="59">
        <f t="shared" ref="N80:N81" si="8">M80/SUM($M$16:$M$177)</f>
        <v>5.0888267065790256E-3</v>
      </c>
      <c r="O80" s="57">
        <f t="shared" si="6"/>
        <v>1</v>
      </c>
      <c r="P80" s="102"/>
      <c r="Q80" s="129" t="s">
        <v>104</v>
      </c>
    </row>
    <row r="81" spans="1:17" x14ac:dyDescent="0.3">
      <c r="A81" s="45" t="s">
        <v>82</v>
      </c>
      <c r="B81" s="147" t="s">
        <v>25</v>
      </c>
      <c r="C81" s="57"/>
      <c r="D81" s="58" t="s">
        <v>20</v>
      </c>
      <c r="E81" s="58" t="str">
        <f t="shared" ref="E81:E144" si="9">A81&amp;" "&amp;B81&amp;" "&amp;C81&amp;" "&amp;D81</f>
        <v>COMERCIALES Madera  No envase</v>
      </c>
      <c r="F81" s="58" t="s">
        <v>193</v>
      </c>
      <c r="G81" s="57">
        <v>1</v>
      </c>
      <c r="H81" s="57">
        <f t="shared" si="3"/>
        <v>80.2</v>
      </c>
      <c r="I81" s="57"/>
      <c r="J81" s="57"/>
      <c r="K81" s="57"/>
      <c r="L81" s="57"/>
      <c r="M81" s="57">
        <f t="shared" si="7"/>
        <v>79.2</v>
      </c>
      <c r="N81" s="59">
        <f t="shared" si="8"/>
        <v>5.1539012168933356E-3</v>
      </c>
      <c r="O81" s="57">
        <f t="shared" si="6"/>
        <v>1</v>
      </c>
      <c r="P81" s="102"/>
      <c r="Q81" s="92" t="s">
        <v>105</v>
      </c>
    </row>
    <row r="82" spans="1:17" x14ac:dyDescent="0.3">
      <c r="A82" s="45" t="s">
        <v>82</v>
      </c>
      <c r="B82" s="144" t="s">
        <v>89</v>
      </c>
      <c r="C82" s="49" t="s">
        <v>27</v>
      </c>
      <c r="D82" s="49" t="s">
        <v>19</v>
      </c>
      <c r="E82" s="49" t="str">
        <f t="shared" si="9"/>
        <v>COMERCIALES Plásticos (excepto SUP*) PET  Envase</v>
      </c>
      <c r="F82" s="49" t="s">
        <v>194</v>
      </c>
      <c r="G82" s="48">
        <v>1</v>
      </c>
      <c r="H82" s="48">
        <f t="shared" ref="H82:H145" si="10">H81+1</f>
        <v>81.2</v>
      </c>
      <c r="I82" s="48"/>
      <c r="J82" s="48"/>
      <c r="K82" s="48"/>
      <c r="L82" s="48"/>
      <c r="M82" s="48">
        <f t="shared" si="7"/>
        <v>80.2</v>
      </c>
      <c r="N82" s="50">
        <f t="shared" ref="N82:N123" si="11">M82/SUM($M$16:$M$177)</f>
        <v>5.2189757272076446E-3</v>
      </c>
      <c r="O82" s="48">
        <f t="shared" si="6"/>
        <v>1</v>
      </c>
      <c r="P82" s="99"/>
      <c r="Q82" s="129" t="s">
        <v>104</v>
      </c>
    </row>
    <row r="83" spans="1:17" x14ac:dyDescent="0.3">
      <c r="A83" s="45" t="s">
        <v>82</v>
      </c>
      <c r="B83" s="144" t="s">
        <v>89</v>
      </c>
      <c r="C83" s="49" t="s">
        <v>27</v>
      </c>
      <c r="D83" s="49" t="s">
        <v>20</v>
      </c>
      <c r="E83" s="49" t="str">
        <f t="shared" si="9"/>
        <v>COMERCIALES Plásticos (excepto SUP*) PET  No envase</v>
      </c>
      <c r="F83" s="49" t="s">
        <v>195</v>
      </c>
      <c r="G83" s="48">
        <v>1</v>
      </c>
      <c r="H83" s="48">
        <f t="shared" si="10"/>
        <v>82.2</v>
      </c>
      <c r="I83" s="48"/>
      <c r="J83" s="48"/>
      <c r="K83" s="48"/>
      <c r="L83" s="48"/>
      <c r="M83" s="48">
        <f t="shared" si="7"/>
        <v>81.2</v>
      </c>
      <c r="N83" s="50">
        <f t="shared" si="11"/>
        <v>5.2840502375219546E-3</v>
      </c>
      <c r="O83" s="48">
        <f t="shared" si="6"/>
        <v>1</v>
      </c>
      <c r="P83" s="99"/>
      <c r="Q83" s="92" t="s">
        <v>105</v>
      </c>
    </row>
    <row r="84" spans="1:17" x14ac:dyDescent="0.3">
      <c r="A84" s="45" t="s">
        <v>82</v>
      </c>
      <c r="B84" s="144" t="s">
        <v>89</v>
      </c>
      <c r="C84" s="49" t="s">
        <v>59</v>
      </c>
      <c r="D84" s="49" t="s">
        <v>19</v>
      </c>
      <c r="E84" s="49" t="str">
        <f t="shared" si="9"/>
        <v>COMERCIALES Plásticos (excepto SUP*) PEAD Envase</v>
      </c>
      <c r="F84" s="49" t="s">
        <v>196</v>
      </c>
      <c r="G84" s="48">
        <v>1</v>
      </c>
      <c r="H84" s="48">
        <f t="shared" si="10"/>
        <v>83.2</v>
      </c>
      <c r="I84" s="48"/>
      <c r="J84" s="48"/>
      <c r="K84" s="48"/>
      <c r="L84" s="48"/>
      <c r="M84" s="48">
        <f t="shared" si="7"/>
        <v>82.2</v>
      </c>
      <c r="N84" s="50">
        <f t="shared" si="11"/>
        <v>5.3491247478362645E-3</v>
      </c>
      <c r="O84" s="48">
        <f t="shared" si="6"/>
        <v>1</v>
      </c>
      <c r="P84" s="99"/>
      <c r="Q84" s="129" t="s">
        <v>104</v>
      </c>
    </row>
    <row r="85" spans="1:17" x14ac:dyDescent="0.3">
      <c r="A85" s="45" t="s">
        <v>82</v>
      </c>
      <c r="B85" s="144" t="s">
        <v>89</v>
      </c>
      <c r="C85" s="49" t="s">
        <v>59</v>
      </c>
      <c r="D85" s="49" t="s">
        <v>20</v>
      </c>
      <c r="E85" s="49" t="str">
        <f t="shared" si="9"/>
        <v>COMERCIALES Plásticos (excepto SUP*) PEAD No envase</v>
      </c>
      <c r="F85" s="49" t="s">
        <v>197</v>
      </c>
      <c r="G85" s="48">
        <v>1</v>
      </c>
      <c r="H85" s="48">
        <f t="shared" si="10"/>
        <v>84.2</v>
      </c>
      <c r="I85" s="48"/>
      <c r="J85" s="48"/>
      <c r="K85" s="48"/>
      <c r="L85" s="48"/>
      <c r="M85" s="48">
        <f t="shared" si="7"/>
        <v>83.2</v>
      </c>
      <c r="N85" s="50">
        <f t="shared" si="11"/>
        <v>5.4141992581505744E-3</v>
      </c>
      <c r="O85" s="48">
        <f t="shared" si="6"/>
        <v>1</v>
      </c>
      <c r="P85" s="99"/>
      <c r="Q85" s="92" t="s">
        <v>105</v>
      </c>
    </row>
    <row r="86" spans="1:17" x14ac:dyDescent="0.3">
      <c r="A86" s="45" t="s">
        <v>82</v>
      </c>
      <c r="B86" s="144" t="s">
        <v>89</v>
      </c>
      <c r="C86" s="49" t="s">
        <v>60</v>
      </c>
      <c r="D86" s="49" t="s">
        <v>19</v>
      </c>
      <c r="E86" s="49" t="str">
        <f t="shared" si="9"/>
        <v>COMERCIALES Plásticos (excepto SUP*) PEBD Envase</v>
      </c>
      <c r="F86" s="49" t="s">
        <v>198</v>
      </c>
      <c r="G86" s="48">
        <v>1</v>
      </c>
      <c r="H86" s="48">
        <f t="shared" si="10"/>
        <v>85.2</v>
      </c>
      <c r="I86" s="48"/>
      <c r="J86" s="48"/>
      <c r="K86" s="48"/>
      <c r="L86" s="48"/>
      <c r="M86" s="48">
        <f t="shared" si="7"/>
        <v>84.2</v>
      </c>
      <c r="N86" s="50">
        <f t="shared" si="11"/>
        <v>5.4792737684648844E-3</v>
      </c>
      <c r="O86" s="48">
        <f t="shared" si="6"/>
        <v>1</v>
      </c>
      <c r="P86" s="99"/>
      <c r="Q86" s="129" t="s">
        <v>104</v>
      </c>
    </row>
    <row r="87" spans="1:17" x14ac:dyDescent="0.3">
      <c r="A87" s="45" t="s">
        <v>82</v>
      </c>
      <c r="B87" s="144" t="s">
        <v>89</v>
      </c>
      <c r="C87" s="49" t="s">
        <v>60</v>
      </c>
      <c r="D87" s="49" t="s">
        <v>20</v>
      </c>
      <c r="E87" s="49" t="str">
        <f t="shared" si="9"/>
        <v>COMERCIALES Plásticos (excepto SUP*) PEBD No envase</v>
      </c>
      <c r="F87" s="49" t="s">
        <v>199</v>
      </c>
      <c r="G87" s="48">
        <v>1</v>
      </c>
      <c r="H87" s="48">
        <f t="shared" si="10"/>
        <v>86.2</v>
      </c>
      <c r="I87" s="48"/>
      <c r="J87" s="48"/>
      <c r="K87" s="48"/>
      <c r="L87" s="48"/>
      <c r="M87" s="48">
        <f t="shared" si="7"/>
        <v>85.2</v>
      </c>
      <c r="N87" s="50">
        <f t="shared" si="11"/>
        <v>5.5443482787791935E-3</v>
      </c>
      <c r="O87" s="48">
        <f t="shared" si="6"/>
        <v>1</v>
      </c>
      <c r="P87" s="99"/>
      <c r="Q87" s="92" t="s">
        <v>105</v>
      </c>
    </row>
    <row r="88" spans="1:17" x14ac:dyDescent="0.3">
      <c r="A88" s="45" t="s">
        <v>82</v>
      </c>
      <c r="B88" s="144" t="s">
        <v>89</v>
      </c>
      <c r="C88" s="49" t="s">
        <v>29</v>
      </c>
      <c r="D88" s="49" t="s">
        <v>19</v>
      </c>
      <c r="E88" s="49" t="str">
        <f t="shared" si="9"/>
        <v>COMERCIALES Plásticos (excepto SUP*) PVC Envase</v>
      </c>
      <c r="F88" s="49" t="s">
        <v>200</v>
      </c>
      <c r="G88" s="48">
        <v>1</v>
      </c>
      <c r="H88" s="48">
        <f t="shared" si="10"/>
        <v>87.2</v>
      </c>
      <c r="I88" s="48"/>
      <c r="J88" s="48"/>
      <c r="K88" s="48"/>
      <c r="L88" s="48"/>
      <c r="M88" s="48">
        <f t="shared" si="7"/>
        <v>86.2</v>
      </c>
      <c r="N88" s="50">
        <f t="shared" si="11"/>
        <v>5.6094227890935034E-3</v>
      </c>
      <c r="O88" s="48">
        <f t="shared" si="6"/>
        <v>1</v>
      </c>
      <c r="P88" s="99"/>
      <c r="Q88" s="129" t="s">
        <v>104</v>
      </c>
    </row>
    <row r="89" spans="1:17" x14ac:dyDescent="0.3">
      <c r="A89" s="45" t="s">
        <v>82</v>
      </c>
      <c r="B89" s="144" t="s">
        <v>89</v>
      </c>
      <c r="C89" s="49" t="s">
        <v>29</v>
      </c>
      <c r="D89" s="49" t="s">
        <v>20</v>
      </c>
      <c r="E89" s="49" t="str">
        <f t="shared" si="9"/>
        <v>COMERCIALES Plásticos (excepto SUP*) PVC No envase</v>
      </c>
      <c r="F89" s="49" t="s">
        <v>201</v>
      </c>
      <c r="G89" s="48">
        <v>1</v>
      </c>
      <c r="H89" s="48">
        <f t="shared" si="10"/>
        <v>88.2</v>
      </c>
      <c r="I89" s="48"/>
      <c r="J89" s="48"/>
      <c r="K89" s="48"/>
      <c r="L89" s="48"/>
      <c r="M89" s="48">
        <f t="shared" si="7"/>
        <v>87.2</v>
      </c>
      <c r="N89" s="50">
        <f t="shared" si="11"/>
        <v>5.6744972994078133E-3</v>
      </c>
      <c r="O89" s="48">
        <f t="shared" si="6"/>
        <v>1</v>
      </c>
      <c r="P89" s="99"/>
      <c r="Q89" s="92" t="s">
        <v>105</v>
      </c>
    </row>
    <row r="90" spans="1:17" x14ac:dyDescent="0.3">
      <c r="A90" s="45" t="s">
        <v>82</v>
      </c>
      <c r="B90" s="144" t="s">
        <v>89</v>
      </c>
      <c r="C90" s="49" t="s">
        <v>30</v>
      </c>
      <c r="D90" s="49" t="s">
        <v>19</v>
      </c>
      <c r="E90" s="49" t="str">
        <f t="shared" si="9"/>
        <v>COMERCIALES Plásticos (excepto SUP*) PP Envase</v>
      </c>
      <c r="F90" s="49" t="s">
        <v>202</v>
      </c>
      <c r="G90" s="48">
        <v>1</v>
      </c>
      <c r="H90" s="48">
        <f t="shared" si="10"/>
        <v>89.2</v>
      </c>
      <c r="I90" s="48"/>
      <c r="J90" s="48"/>
      <c r="K90" s="48"/>
      <c r="L90" s="48"/>
      <c r="M90" s="48">
        <f t="shared" si="7"/>
        <v>88.2</v>
      </c>
      <c r="N90" s="50">
        <f t="shared" si="11"/>
        <v>5.7395718097221233E-3</v>
      </c>
      <c r="O90" s="48">
        <f t="shared" si="6"/>
        <v>1</v>
      </c>
      <c r="P90" s="99"/>
      <c r="Q90" s="129" t="s">
        <v>104</v>
      </c>
    </row>
    <row r="91" spans="1:17" x14ac:dyDescent="0.3">
      <c r="A91" s="45" t="s">
        <v>82</v>
      </c>
      <c r="B91" s="144" t="s">
        <v>89</v>
      </c>
      <c r="C91" s="49" t="s">
        <v>30</v>
      </c>
      <c r="D91" s="49" t="s">
        <v>20</v>
      </c>
      <c r="E91" s="49" t="str">
        <f t="shared" si="9"/>
        <v>COMERCIALES Plásticos (excepto SUP*) PP No envase</v>
      </c>
      <c r="F91" s="49" t="s">
        <v>203</v>
      </c>
      <c r="G91" s="48">
        <v>1</v>
      </c>
      <c r="H91" s="48">
        <f t="shared" si="10"/>
        <v>90.2</v>
      </c>
      <c r="I91" s="48"/>
      <c r="J91" s="48"/>
      <c r="K91" s="48"/>
      <c r="L91" s="48"/>
      <c r="M91" s="48">
        <f t="shared" si="7"/>
        <v>89.2</v>
      </c>
      <c r="N91" s="50">
        <f t="shared" si="11"/>
        <v>5.8046463200364332E-3</v>
      </c>
      <c r="O91" s="48">
        <f t="shared" si="6"/>
        <v>1</v>
      </c>
      <c r="P91" s="99"/>
      <c r="Q91" s="92" t="s">
        <v>105</v>
      </c>
    </row>
    <row r="92" spans="1:17" ht="27.6" x14ac:dyDescent="0.3">
      <c r="A92" s="45" t="s">
        <v>82</v>
      </c>
      <c r="B92" s="144" t="s">
        <v>89</v>
      </c>
      <c r="C92" s="49" t="s">
        <v>31</v>
      </c>
      <c r="D92" s="49" t="s">
        <v>19</v>
      </c>
      <c r="E92" s="49" t="str">
        <f t="shared" si="9"/>
        <v>COMERCIALES Plásticos (excepto SUP*) PS (excepto EPS) Envase</v>
      </c>
      <c r="F92" s="49" t="s">
        <v>204</v>
      </c>
      <c r="G92" s="48">
        <v>1</v>
      </c>
      <c r="H92" s="48">
        <f t="shared" si="10"/>
        <v>91.2</v>
      </c>
      <c r="I92" s="48"/>
      <c r="J92" s="48"/>
      <c r="K92" s="48"/>
      <c r="L92" s="48"/>
      <c r="M92" s="48">
        <f t="shared" si="7"/>
        <v>90.2</v>
      </c>
      <c r="N92" s="50">
        <f t="shared" si="11"/>
        <v>5.8697208303507432E-3</v>
      </c>
      <c r="O92" s="48">
        <f t="shared" si="6"/>
        <v>1</v>
      </c>
      <c r="P92" s="99"/>
      <c r="Q92" s="129" t="s">
        <v>104</v>
      </c>
    </row>
    <row r="93" spans="1:17" ht="27.6" x14ac:dyDescent="0.3">
      <c r="A93" s="45" t="s">
        <v>82</v>
      </c>
      <c r="B93" s="144" t="s">
        <v>89</v>
      </c>
      <c r="C93" s="49" t="s">
        <v>31</v>
      </c>
      <c r="D93" s="49" t="s">
        <v>20</v>
      </c>
      <c r="E93" s="49" t="str">
        <f t="shared" si="9"/>
        <v>COMERCIALES Plásticos (excepto SUP*) PS (excepto EPS) No envase</v>
      </c>
      <c r="F93" s="49" t="s">
        <v>205</v>
      </c>
      <c r="G93" s="48">
        <v>1</v>
      </c>
      <c r="H93" s="60">
        <f t="shared" si="10"/>
        <v>92.2</v>
      </c>
      <c r="I93" s="60"/>
      <c r="J93" s="60"/>
      <c r="K93" s="60"/>
      <c r="L93" s="60"/>
      <c r="M93" s="48">
        <f t="shared" si="7"/>
        <v>91.2</v>
      </c>
      <c r="N93" s="50">
        <f t="shared" si="11"/>
        <v>5.9347953406650522E-3</v>
      </c>
      <c r="O93" s="48">
        <f t="shared" si="6"/>
        <v>1</v>
      </c>
      <c r="P93" s="99"/>
      <c r="Q93" s="92" t="s">
        <v>105</v>
      </c>
    </row>
    <row r="94" spans="1:17" ht="14.4" x14ac:dyDescent="0.3">
      <c r="A94" s="45" t="s">
        <v>82</v>
      </c>
      <c r="B94" s="144" t="s">
        <v>89</v>
      </c>
      <c r="C94" s="49" t="s">
        <v>32</v>
      </c>
      <c r="D94" s="49" t="s">
        <v>19</v>
      </c>
      <c r="E94" s="49" t="str">
        <f t="shared" si="9"/>
        <v>COMERCIALES Plásticos (excepto SUP*) EPS Envase</v>
      </c>
      <c r="F94" s="49" t="s">
        <v>206</v>
      </c>
      <c r="G94" s="48">
        <v>1</v>
      </c>
      <c r="H94" s="60">
        <f t="shared" si="10"/>
        <v>93.2</v>
      </c>
      <c r="I94" s="60"/>
      <c r="J94" s="60"/>
      <c r="K94" s="60"/>
      <c r="L94" s="60"/>
      <c r="M94" s="48">
        <f t="shared" si="7"/>
        <v>92.2</v>
      </c>
      <c r="N94" s="50">
        <f t="shared" si="11"/>
        <v>5.9998698509793622E-3</v>
      </c>
      <c r="O94" s="48">
        <f t="shared" si="6"/>
        <v>1</v>
      </c>
      <c r="P94" s="99"/>
      <c r="Q94" s="129" t="s">
        <v>104</v>
      </c>
    </row>
    <row r="95" spans="1:17" ht="14.4" x14ac:dyDescent="0.3">
      <c r="A95" s="45" t="s">
        <v>82</v>
      </c>
      <c r="B95" s="144" t="s">
        <v>89</v>
      </c>
      <c r="C95" s="49" t="s">
        <v>32</v>
      </c>
      <c r="D95" s="49" t="s">
        <v>20</v>
      </c>
      <c r="E95" s="49" t="str">
        <f t="shared" si="9"/>
        <v>COMERCIALES Plásticos (excepto SUP*) EPS No envase</v>
      </c>
      <c r="F95" s="49" t="s">
        <v>207</v>
      </c>
      <c r="G95" s="48">
        <v>1</v>
      </c>
      <c r="H95" s="60">
        <f t="shared" si="10"/>
        <v>94.2</v>
      </c>
      <c r="I95" s="60"/>
      <c r="J95" s="60"/>
      <c r="K95" s="60"/>
      <c r="L95" s="60"/>
      <c r="M95" s="48">
        <f t="shared" si="7"/>
        <v>93.2</v>
      </c>
      <c r="N95" s="50">
        <f t="shared" si="11"/>
        <v>6.0649443612936721E-3</v>
      </c>
      <c r="O95" s="48">
        <f t="shared" si="6"/>
        <v>1</v>
      </c>
      <c r="P95" s="99"/>
      <c r="Q95" s="92" t="s">
        <v>105</v>
      </c>
    </row>
    <row r="96" spans="1:17" ht="27.6" x14ac:dyDescent="0.3">
      <c r="A96" s="45" t="s">
        <v>82</v>
      </c>
      <c r="B96" s="144" t="s">
        <v>89</v>
      </c>
      <c r="C96" s="49" t="s">
        <v>33</v>
      </c>
      <c r="D96" s="49" t="s">
        <v>19</v>
      </c>
      <c r="E96" s="49" t="str">
        <f t="shared" si="9"/>
        <v>COMERCIALES Plásticos (excepto SUP*) Otros Plásticos Envase</v>
      </c>
      <c r="F96" s="49" t="s">
        <v>208</v>
      </c>
      <c r="G96" s="48">
        <v>1</v>
      </c>
      <c r="H96" s="60">
        <f t="shared" si="10"/>
        <v>95.2</v>
      </c>
      <c r="I96" s="60"/>
      <c r="J96" s="60"/>
      <c r="K96" s="60"/>
      <c r="L96" s="60"/>
      <c r="M96" s="48">
        <f t="shared" si="7"/>
        <v>94.2</v>
      </c>
      <c r="N96" s="50">
        <f t="shared" si="11"/>
        <v>6.1300188716079821E-3</v>
      </c>
      <c r="O96" s="48">
        <f t="shared" si="6"/>
        <v>1</v>
      </c>
      <c r="P96" s="99"/>
      <c r="Q96" s="129" t="s">
        <v>104</v>
      </c>
    </row>
    <row r="97" spans="1:17" ht="27.6" x14ac:dyDescent="0.3">
      <c r="A97" s="45" t="s">
        <v>82</v>
      </c>
      <c r="B97" s="144" t="s">
        <v>89</v>
      </c>
      <c r="C97" s="49" t="s">
        <v>33</v>
      </c>
      <c r="D97" s="49" t="s">
        <v>20</v>
      </c>
      <c r="E97" s="49" t="str">
        <f t="shared" si="9"/>
        <v>COMERCIALES Plásticos (excepto SUP*) Otros Plásticos No envase</v>
      </c>
      <c r="F97" s="49" t="s">
        <v>209</v>
      </c>
      <c r="G97" s="48">
        <v>1</v>
      </c>
      <c r="H97" s="60">
        <f t="shared" si="10"/>
        <v>96.2</v>
      </c>
      <c r="I97" s="60"/>
      <c r="J97" s="60"/>
      <c r="K97" s="60"/>
      <c r="L97" s="60"/>
      <c r="M97" s="48">
        <f t="shared" si="7"/>
        <v>95.2</v>
      </c>
      <c r="N97" s="50">
        <f t="shared" si="11"/>
        <v>6.195093381922292E-3</v>
      </c>
      <c r="O97" s="48">
        <f t="shared" si="6"/>
        <v>1</v>
      </c>
      <c r="P97" s="99"/>
      <c r="Q97" s="92" t="s">
        <v>105</v>
      </c>
    </row>
    <row r="98" spans="1:17" ht="12.75" customHeight="1" x14ac:dyDescent="0.3">
      <c r="A98" s="45" t="s">
        <v>82</v>
      </c>
      <c r="B98" s="144" t="s">
        <v>34</v>
      </c>
      <c r="C98" s="61" t="s">
        <v>35</v>
      </c>
      <c r="D98" s="61"/>
      <c r="E98" s="61" t="str">
        <f t="shared" si="9"/>
        <v xml:space="preserve">COMERCIALES * Plásticos de un solo uso (SUP) [iii] Botellas para bebidas de hasta tres litros de capacidad, incluidos sus tapas y tapones </v>
      </c>
      <c r="F98" s="61" t="s">
        <v>210</v>
      </c>
      <c r="G98" s="48">
        <v>1</v>
      </c>
      <c r="H98" s="60">
        <f t="shared" si="10"/>
        <v>97.2</v>
      </c>
      <c r="I98" s="60"/>
      <c r="J98" s="60"/>
      <c r="K98" s="60"/>
      <c r="L98" s="60"/>
      <c r="M98" s="48">
        <f t="shared" si="7"/>
        <v>96.2</v>
      </c>
      <c r="N98" s="50">
        <f t="shared" si="11"/>
        <v>6.2601678922366011E-3</v>
      </c>
      <c r="O98" s="48">
        <f t="shared" si="6"/>
        <v>1</v>
      </c>
      <c r="P98" s="103"/>
      <c r="Q98" s="129" t="s">
        <v>104</v>
      </c>
    </row>
    <row r="99" spans="1:17" ht="12.75" customHeight="1" x14ac:dyDescent="0.3">
      <c r="A99" s="45" t="s">
        <v>82</v>
      </c>
      <c r="B99" s="144" t="s">
        <v>34</v>
      </c>
      <c r="C99" s="49" t="s">
        <v>36</v>
      </c>
      <c r="D99" s="49"/>
      <c r="E99" s="49" t="str">
        <f t="shared" si="9"/>
        <v xml:space="preserve">COMERCIALES * Plásticos de un solo uso (SUP) [iii] Productos de tabaco con filtro y fitros comercializados para utilizarse en combinación con productos del tabaco </v>
      </c>
      <c r="F99" s="49" t="s">
        <v>211</v>
      </c>
      <c r="G99" s="48">
        <v>1</v>
      </c>
      <c r="H99" s="60">
        <f t="shared" si="10"/>
        <v>98.2</v>
      </c>
      <c r="I99" s="60"/>
      <c r="J99" s="60"/>
      <c r="K99" s="60"/>
      <c r="L99" s="60"/>
      <c r="M99" s="48">
        <f t="shared" si="7"/>
        <v>97.2</v>
      </c>
      <c r="N99" s="50">
        <f t="shared" si="11"/>
        <v>6.325242402550911E-3</v>
      </c>
      <c r="O99" s="48">
        <f t="shared" si="6"/>
        <v>1</v>
      </c>
      <c r="P99" s="99"/>
      <c r="Q99" s="92" t="s">
        <v>105</v>
      </c>
    </row>
    <row r="100" spans="1:17" ht="14.4" x14ac:dyDescent="0.3">
      <c r="A100" s="45" t="s">
        <v>82</v>
      </c>
      <c r="B100" s="144" t="s">
        <v>34</v>
      </c>
      <c r="C100" s="62" t="s">
        <v>37</v>
      </c>
      <c r="D100" s="62"/>
      <c r="E100" s="62" t="str">
        <f t="shared" si="9"/>
        <v xml:space="preserve">COMERCIALES * Plásticos de un solo uso (SUP) [iii] Recipientes para alimentos </v>
      </c>
      <c r="F100" s="62" t="s">
        <v>212</v>
      </c>
      <c r="G100" s="48">
        <v>1</v>
      </c>
      <c r="H100" s="60">
        <f t="shared" si="10"/>
        <v>99.2</v>
      </c>
      <c r="I100" s="60"/>
      <c r="J100" s="60"/>
      <c r="K100" s="60"/>
      <c r="L100" s="60"/>
      <c r="M100" s="48">
        <f t="shared" si="7"/>
        <v>98.2</v>
      </c>
      <c r="N100" s="50">
        <f t="shared" si="11"/>
        <v>6.390316912865221E-3</v>
      </c>
      <c r="O100" s="48">
        <f t="shared" si="6"/>
        <v>1</v>
      </c>
      <c r="P100" s="104"/>
      <c r="Q100" s="129" t="s">
        <v>104</v>
      </c>
    </row>
    <row r="101" spans="1:17" ht="12.75" customHeight="1" x14ac:dyDescent="0.3">
      <c r="A101" s="45" t="s">
        <v>82</v>
      </c>
      <c r="B101" s="144" t="s">
        <v>34</v>
      </c>
      <c r="C101" s="63" t="s">
        <v>38</v>
      </c>
      <c r="D101" s="63"/>
      <c r="E101" s="63" t="str">
        <f t="shared" si="9"/>
        <v xml:space="preserve">COMERCIALES * Plásticos de un solo uso (SUP) [iii] Vasos para bebidas (incluidas sus tapas y tapones) </v>
      </c>
      <c r="F101" s="63" t="s">
        <v>213</v>
      </c>
      <c r="G101" s="48">
        <v>1</v>
      </c>
      <c r="H101" s="60">
        <f t="shared" si="10"/>
        <v>100.2</v>
      </c>
      <c r="I101" s="60"/>
      <c r="J101" s="60"/>
      <c r="K101" s="60"/>
      <c r="L101" s="60"/>
      <c r="M101" s="48">
        <f t="shared" si="7"/>
        <v>99.2</v>
      </c>
      <c r="N101" s="50">
        <f t="shared" si="11"/>
        <v>6.4553914231795309E-3</v>
      </c>
      <c r="O101" s="48">
        <f t="shared" si="6"/>
        <v>1</v>
      </c>
      <c r="P101" s="105"/>
      <c r="Q101" s="129" t="s">
        <v>104</v>
      </c>
    </row>
    <row r="102" spans="1:17" ht="14.4" x14ac:dyDescent="0.3">
      <c r="A102" s="45" t="s">
        <v>82</v>
      </c>
      <c r="B102" s="144" t="s">
        <v>34</v>
      </c>
      <c r="C102" s="63" t="s">
        <v>41</v>
      </c>
      <c r="D102" s="63"/>
      <c r="E102" s="63" t="str">
        <f t="shared" si="9"/>
        <v xml:space="preserve">COMERCIALES * Plásticos de un solo uso (SUP) [iii] Otros </v>
      </c>
      <c r="F102" s="63" t="s">
        <v>214</v>
      </c>
      <c r="G102" s="48">
        <v>1</v>
      </c>
      <c r="H102" s="60">
        <f t="shared" si="10"/>
        <v>101.2</v>
      </c>
      <c r="I102" s="60"/>
      <c r="J102" s="60"/>
      <c r="K102" s="60"/>
      <c r="L102" s="60"/>
      <c r="M102" s="48">
        <f t="shared" si="7"/>
        <v>100.2</v>
      </c>
      <c r="N102" s="50">
        <f t="shared" si="11"/>
        <v>6.5204659334938408E-3</v>
      </c>
      <c r="O102" s="48">
        <f t="shared" si="6"/>
        <v>1</v>
      </c>
      <c r="P102" s="105"/>
      <c r="Q102" s="129" t="s">
        <v>104</v>
      </c>
    </row>
    <row r="103" spans="1:17" ht="12.75" customHeight="1" x14ac:dyDescent="0.3">
      <c r="A103" s="45" t="s">
        <v>82</v>
      </c>
      <c r="B103" s="148" t="s">
        <v>39</v>
      </c>
      <c r="C103" s="67" t="s">
        <v>66</v>
      </c>
      <c r="D103" s="67"/>
      <c r="E103" s="67" t="str">
        <f t="shared" si="9"/>
        <v xml:space="preserve">COMERCIALES Biorresiduos Restos de alimentos no cocinados y restos derivados de la preparación de alimentos </v>
      </c>
      <c r="F103" s="67" t="s">
        <v>215</v>
      </c>
      <c r="G103" s="66">
        <v>1</v>
      </c>
      <c r="H103" s="68">
        <f t="shared" si="10"/>
        <v>102.2</v>
      </c>
      <c r="I103" s="68"/>
      <c r="J103" s="68"/>
      <c r="K103" s="68"/>
      <c r="L103" s="68"/>
      <c r="M103" s="66">
        <f t="shared" si="7"/>
        <v>101.2</v>
      </c>
      <c r="N103" s="69">
        <f t="shared" si="11"/>
        <v>6.5855404438081508E-3</v>
      </c>
      <c r="O103" s="66">
        <f t="shared" si="6"/>
        <v>1</v>
      </c>
      <c r="P103" s="106"/>
      <c r="Q103" s="129" t="s">
        <v>104</v>
      </c>
    </row>
    <row r="104" spans="1:17" ht="41.4" x14ac:dyDescent="0.3">
      <c r="A104" s="45" t="s">
        <v>82</v>
      </c>
      <c r="B104" s="148" t="s">
        <v>39</v>
      </c>
      <c r="C104" s="67" t="s">
        <v>67</v>
      </c>
      <c r="D104" s="67"/>
      <c r="E104" s="67" t="str">
        <f t="shared" si="9"/>
        <v xml:space="preserve">COMERCIALES Biorresiduos Restos de alimentos cocinados </v>
      </c>
      <c r="F104" s="67" t="s">
        <v>216</v>
      </c>
      <c r="G104" s="66">
        <v>1</v>
      </c>
      <c r="H104" s="68">
        <f t="shared" si="10"/>
        <v>103.2</v>
      </c>
      <c r="I104" s="68"/>
      <c r="J104" s="68"/>
      <c r="K104" s="68"/>
      <c r="L104" s="68"/>
      <c r="M104" s="66">
        <f t="shared" si="7"/>
        <v>102.2</v>
      </c>
      <c r="N104" s="69">
        <f t="shared" si="11"/>
        <v>6.6506149541224599E-3</v>
      </c>
      <c r="O104" s="66">
        <f t="shared" si="6"/>
        <v>1</v>
      </c>
      <c r="P104" s="106"/>
      <c r="Q104" s="129" t="s">
        <v>104</v>
      </c>
    </row>
    <row r="105" spans="1:17" ht="12.75" customHeight="1" x14ac:dyDescent="0.3">
      <c r="A105" s="45" t="s">
        <v>82</v>
      </c>
      <c r="B105" s="148" t="s">
        <v>39</v>
      </c>
      <c r="C105" s="67" t="s">
        <v>68</v>
      </c>
      <c r="D105" s="67"/>
      <c r="E105" s="67" t="str">
        <f t="shared" si="9"/>
        <v xml:space="preserve">COMERCIALES Biorresiduos Celulosas: Papel de cocina, servilletas </v>
      </c>
      <c r="F105" s="67" t="s">
        <v>217</v>
      </c>
      <c r="G105" s="66">
        <v>1</v>
      </c>
      <c r="H105" s="68">
        <f t="shared" si="10"/>
        <v>104.2</v>
      </c>
      <c r="I105" s="68"/>
      <c r="J105" s="68"/>
      <c r="K105" s="68"/>
      <c r="L105" s="68"/>
      <c r="M105" s="66">
        <f t="shared" si="7"/>
        <v>103.2</v>
      </c>
      <c r="N105" s="69">
        <f t="shared" si="11"/>
        <v>6.7156894644367698E-3</v>
      </c>
      <c r="O105" s="66">
        <f t="shared" si="6"/>
        <v>1</v>
      </c>
      <c r="P105" s="106"/>
      <c r="Q105" s="129" t="s">
        <v>104</v>
      </c>
    </row>
    <row r="106" spans="1:17" ht="12.75" customHeight="1" x14ac:dyDescent="0.3">
      <c r="A106" s="45" t="s">
        <v>82</v>
      </c>
      <c r="B106" s="148" t="s">
        <v>39</v>
      </c>
      <c r="C106" s="67" t="s">
        <v>81</v>
      </c>
      <c r="D106" s="67"/>
      <c r="E106" s="67" t="str">
        <f t="shared" si="9"/>
        <v xml:space="preserve">COMERCIALES Biorresiduos Otros restos de cocina compostables: bolsas, corchos, palillos de madera y otros resto compostables (vasos de papel, etc.) </v>
      </c>
      <c r="F106" s="67" t="s">
        <v>218</v>
      </c>
      <c r="G106" s="66">
        <v>1</v>
      </c>
      <c r="H106" s="66">
        <f t="shared" si="10"/>
        <v>105.2</v>
      </c>
      <c r="I106" s="66"/>
      <c r="J106" s="66"/>
      <c r="K106" s="66"/>
      <c r="L106" s="66"/>
      <c r="M106" s="66">
        <f t="shared" si="7"/>
        <v>104.2</v>
      </c>
      <c r="N106" s="69">
        <f t="shared" si="11"/>
        <v>6.7807639747510797E-3</v>
      </c>
      <c r="O106" s="66">
        <f t="shared" si="6"/>
        <v>1</v>
      </c>
      <c r="P106" s="106"/>
      <c r="Q106" s="129" t="s">
        <v>104</v>
      </c>
    </row>
    <row r="107" spans="1:17" ht="12.75" customHeight="1" x14ac:dyDescent="0.3">
      <c r="A107" s="45" t="s">
        <v>82</v>
      </c>
      <c r="B107" s="148" t="s">
        <v>39</v>
      </c>
      <c r="C107" s="67" t="s">
        <v>69</v>
      </c>
      <c r="D107" s="67"/>
      <c r="E107" s="67" t="str">
        <f t="shared" si="9"/>
        <v xml:space="preserve">COMERCIALES Biorresiduos Derroche alimentario: alimentos caducados y en mal estado (a granel o en envases abiertos, el envase se separará en su fracción) </v>
      </c>
      <c r="F107" s="67" t="s">
        <v>219</v>
      </c>
      <c r="G107" s="66">
        <v>1</v>
      </c>
      <c r="H107" s="66">
        <f t="shared" si="10"/>
        <v>106.2</v>
      </c>
      <c r="I107" s="66"/>
      <c r="J107" s="66"/>
      <c r="K107" s="66"/>
      <c r="L107" s="66"/>
      <c r="M107" s="66">
        <f t="shared" si="7"/>
        <v>105.2</v>
      </c>
      <c r="N107" s="69">
        <f t="shared" si="11"/>
        <v>6.8458384850653897E-3</v>
      </c>
      <c r="O107" s="66">
        <f t="shared" si="6"/>
        <v>1</v>
      </c>
      <c r="P107" s="106"/>
      <c r="Q107" s="129" t="s">
        <v>104</v>
      </c>
    </row>
    <row r="108" spans="1:17" ht="12.75" customHeight="1" x14ac:dyDescent="0.3">
      <c r="A108" s="45" t="s">
        <v>82</v>
      </c>
      <c r="B108" s="148" t="s">
        <v>39</v>
      </c>
      <c r="C108" s="67" t="s">
        <v>71</v>
      </c>
      <c r="D108" s="67"/>
      <c r="E108" s="67" t="str">
        <f t="shared" si="9"/>
        <v xml:space="preserve">COMERCIALES Biorresiduos Restos vegetales (césped, hojas, flores, etc.) </v>
      </c>
      <c r="F108" s="67" t="s">
        <v>220</v>
      </c>
      <c r="G108" s="66">
        <v>1</v>
      </c>
      <c r="H108" s="66">
        <f t="shared" si="10"/>
        <v>107.2</v>
      </c>
      <c r="I108" s="66"/>
      <c r="J108" s="66"/>
      <c r="K108" s="66"/>
      <c r="L108" s="66"/>
      <c r="M108" s="66">
        <f t="shared" si="7"/>
        <v>106.2</v>
      </c>
      <c r="N108" s="69">
        <f t="shared" si="11"/>
        <v>6.9109129953796996E-3</v>
      </c>
      <c r="O108" s="66">
        <f t="shared" si="6"/>
        <v>1</v>
      </c>
      <c r="P108" s="106"/>
      <c r="Q108" s="129" t="s">
        <v>104</v>
      </c>
    </row>
    <row r="109" spans="1:17" ht="12.75" customHeight="1" x14ac:dyDescent="0.3">
      <c r="A109" s="45" t="s">
        <v>82</v>
      </c>
      <c r="B109" s="148" t="s">
        <v>39</v>
      </c>
      <c r="C109" s="67" t="s">
        <v>72</v>
      </c>
      <c r="D109" s="67"/>
      <c r="E109" s="67" t="str">
        <f t="shared" si="9"/>
        <v xml:space="preserve">COMERCIALES Biorresiduos Restos de poda (ramas, arbustos, etc.) </v>
      </c>
      <c r="F109" s="67" t="s">
        <v>221</v>
      </c>
      <c r="G109" s="66">
        <v>1</v>
      </c>
      <c r="H109" s="66">
        <f t="shared" si="10"/>
        <v>108.2</v>
      </c>
      <c r="I109" s="66"/>
      <c r="J109" s="66"/>
      <c r="K109" s="66"/>
      <c r="L109" s="66"/>
      <c r="M109" s="66">
        <f t="shared" si="7"/>
        <v>107.2</v>
      </c>
      <c r="N109" s="69">
        <f t="shared" si="11"/>
        <v>6.9759875056940087E-3</v>
      </c>
      <c r="O109" s="66">
        <f t="shared" si="6"/>
        <v>1</v>
      </c>
      <c r="P109" s="106"/>
      <c r="Q109" s="129" t="s">
        <v>104</v>
      </c>
    </row>
    <row r="110" spans="1:17" ht="12.75" customHeight="1" x14ac:dyDescent="0.3">
      <c r="A110" s="45" t="s">
        <v>82</v>
      </c>
      <c r="B110" s="65" t="s">
        <v>84</v>
      </c>
      <c r="C110" s="64" t="s">
        <v>70</v>
      </c>
      <c r="D110" s="64"/>
      <c r="E110" s="64" t="str">
        <f t="shared" si="9"/>
        <v xml:space="preserve">COMERCIALES ACEITE Aceite de cocina usados (contenidos en envases) </v>
      </c>
      <c r="F110" s="64" t="s">
        <v>222</v>
      </c>
      <c r="G110" s="53">
        <v>1</v>
      </c>
      <c r="H110" s="53">
        <f t="shared" si="10"/>
        <v>109.2</v>
      </c>
      <c r="I110" s="53"/>
      <c r="J110" s="53"/>
      <c r="K110" s="53"/>
      <c r="L110" s="53"/>
      <c r="M110" s="53">
        <f t="shared" si="7"/>
        <v>108.2</v>
      </c>
      <c r="N110" s="54">
        <f t="shared" si="11"/>
        <v>7.0410620160083186E-3</v>
      </c>
      <c r="O110" s="53">
        <f t="shared" si="6"/>
        <v>1</v>
      </c>
      <c r="P110" s="107"/>
      <c r="Q110" s="129" t="s">
        <v>104</v>
      </c>
    </row>
    <row r="111" spans="1:17" x14ac:dyDescent="0.3">
      <c r="A111" s="45" t="s">
        <v>82</v>
      </c>
      <c r="B111" s="70" t="s">
        <v>91</v>
      </c>
      <c r="C111" s="71" t="s">
        <v>58</v>
      </c>
      <c r="D111" s="71"/>
      <c r="E111" s="71" t="str">
        <f t="shared" si="9"/>
        <v xml:space="preserve">COMERCIALES RAEE [iv] RAEE  </v>
      </c>
      <c r="F111" s="71" t="s">
        <v>223</v>
      </c>
      <c r="G111" s="72">
        <v>1</v>
      </c>
      <c r="H111" s="72">
        <f t="shared" si="10"/>
        <v>110.2</v>
      </c>
      <c r="I111" s="72"/>
      <c r="J111" s="72"/>
      <c r="K111" s="72"/>
      <c r="L111" s="72"/>
      <c r="M111" s="72">
        <f t="shared" si="7"/>
        <v>109.2</v>
      </c>
      <c r="N111" s="73">
        <f t="shared" si="11"/>
        <v>7.1061365263226286E-3</v>
      </c>
      <c r="O111" s="72">
        <f t="shared" si="6"/>
        <v>1</v>
      </c>
      <c r="P111" s="108"/>
      <c r="Q111" s="129" t="s">
        <v>104</v>
      </c>
    </row>
    <row r="112" spans="1:17" ht="41.4" x14ac:dyDescent="0.3">
      <c r="A112" s="45" t="s">
        <v>82</v>
      </c>
      <c r="B112" s="70" t="s">
        <v>73</v>
      </c>
      <c r="C112" s="71" t="s">
        <v>42</v>
      </c>
      <c r="D112" s="71"/>
      <c r="E112" s="71" t="str">
        <f t="shared" si="9"/>
        <v xml:space="preserve">COMERCIALES Baterias Pilas y Acumuladores </v>
      </c>
      <c r="F112" s="71" t="s">
        <v>224</v>
      </c>
      <c r="G112" s="72">
        <v>1</v>
      </c>
      <c r="H112" s="72">
        <f t="shared" si="10"/>
        <v>111.2</v>
      </c>
      <c r="I112" s="72"/>
      <c r="J112" s="72"/>
      <c r="K112" s="72"/>
      <c r="L112" s="72"/>
      <c r="M112" s="72">
        <f t="shared" si="7"/>
        <v>110.2</v>
      </c>
      <c r="N112" s="73">
        <f t="shared" si="11"/>
        <v>7.1712110366369385E-3</v>
      </c>
      <c r="O112" s="72">
        <f t="shared" si="6"/>
        <v>1</v>
      </c>
      <c r="P112" s="108"/>
      <c r="Q112" s="129" t="s">
        <v>104</v>
      </c>
    </row>
    <row r="113" spans="1:17" ht="27.6" x14ac:dyDescent="0.3">
      <c r="A113" s="45" t="s">
        <v>82</v>
      </c>
      <c r="B113" s="70" t="s">
        <v>73</v>
      </c>
      <c r="C113" s="71" t="s">
        <v>43</v>
      </c>
      <c r="D113" s="71"/>
      <c r="E113" s="71" t="str">
        <f t="shared" si="9"/>
        <v xml:space="preserve">COMERCIALES Baterias Baterías de Vehículos </v>
      </c>
      <c r="F113" s="71" t="s">
        <v>225</v>
      </c>
      <c r="G113" s="72">
        <v>1</v>
      </c>
      <c r="H113" s="72">
        <f t="shared" si="10"/>
        <v>112.2</v>
      </c>
      <c r="I113" s="72"/>
      <c r="J113" s="72"/>
      <c r="K113" s="72"/>
      <c r="L113" s="72"/>
      <c r="M113" s="72">
        <f t="shared" si="7"/>
        <v>111.2</v>
      </c>
      <c r="N113" s="73">
        <f t="shared" si="11"/>
        <v>7.2362855469512485E-3</v>
      </c>
      <c r="O113" s="72">
        <f t="shared" si="6"/>
        <v>1</v>
      </c>
      <c r="P113" s="108"/>
      <c r="Q113" s="129" t="s">
        <v>104</v>
      </c>
    </row>
    <row r="114" spans="1:17" ht="27.6" x14ac:dyDescent="0.3">
      <c r="A114" s="45" t="s">
        <v>82</v>
      </c>
      <c r="B114" s="84" t="s">
        <v>74</v>
      </c>
      <c r="C114" s="85" t="s">
        <v>44</v>
      </c>
      <c r="D114" s="85"/>
      <c r="E114" s="85" t="str">
        <f t="shared" si="9"/>
        <v xml:space="preserve">COMERCIALES Textiles Textiles y piel </v>
      </c>
      <c r="F114" s="85" t="s">
        <v>226</v>
      </c>
      <c r="G114" s="86">
        <v>1</v>
      </c>
      <c r="H114" s="86">
        <f t="shared" si="10"/>
        <v>113.2</v>
      </c>
      <c r="I114" s="86"/>
      <c r="J114" s="86"/>
      <c r="K114" s="86"/>
      <c r="L114" s="86"/>
      <c r="M114" s="86">
        <f t="shared" si="7"/>
        <v>112.2</v>
      </c>
      <c r="N114" s="87">
        <f t="shared" si="11"/>
        <v>7.3013600572655584E-3</v>
      </c>
      <c r="O114" s="86">
        <f t="shared" si="6"/>
        <v>1</v>
      </c>
      <c r="P114" s="109"/>
      <c r="Q114" s="129" t="s">
        <v>104</v>
      </c>
    </row>
    <row r="115" spans="1:17" ht="12.75" customHeight="1" x14ac:dyDescent="0.3">
      <c r="A115" s="45" t="s">
        <v>82</v>
      </c>
      <c r="B115" s="75" t="s">
        <v>75</v>
      </c>
      <c r="C115" s="76" t="s">
        <v>45</v>
      </c>
      <c r="D115" s="76"/>
      <c r="E115" s="76" t="str">
        <f t="shared" si="9"/>
        <v xml:space="preserve">COMERCIALES Textiles sanitarios Textiles y celulósicos sanitarios </v>
      </c>
      <c r="F115" s="76" t="s">
        <v>227</v>
      </c>
      <c r="G115" s="77">
        <v>1</v>
      </c>
      <c r="H115" s="77">
        <f t="shared" si="10"/>
        <v>114.2</v>
      </c>
      <c r="I115" s="77"/>
      <c r="J115" s="77"/>
      <c r="K115" s="77"/>
      <c r="L115" s="77"/>
      <c r="M115" s="77">
        <f t="shared" si="7"/>
        <v>113.2</v>
      </c>
      <c r="N115" s="78">
        <f t="shared" si="11"/>
        <v>7.3664345675798675E-3</v>
      </c>
      <c r="O115" s="77">
        <f t="shared" si="6"/>
        <v>1</v>
      </c>
      <c r="P115" s="110"/>
      <c r="Q115" s="92" t="s">
        <v>105</v>
      </c>
    </row>
    <row r="116" spans="1:17" ht="27.6" x14ac:dyDescent="0.3">
      <c r="A116" s="45" t="s">
        <v>82</v>
      </c>
      <c r="B116" s="149" t="s">
        <v>76</v>
      </c>
      <c r="C116" s="80" t="s">
        <v>48</v>
      </c>
      <c r="D116" s="80"/>
      <c r="E116" s="80" t="str">
        <f t="shared" si="9"/>
        <v xml:space="preserve">COMERCIALES Tierras y RCDs Tierras y Escombros </v>
      </c>
      <c r="F116" s="80" t="s">
        <v>228</v>
      </c>
      <c r="G116" s="81">
        <v>1</v>
      </c>
      <c r="H116" s="81">
        <f t="shared" si="10"/>
        <v>115.2</v>
      </c>
      <c r="I116" s="81"/>
      <c r="J116" s="81"/>
      <c r="K116" s="81"/>
      <c r="L116" s="81"/>
      <c r="M116" s="81">
        <f t="shared" si="7"/>
        <v>114.2</v>
      </c>
      <c r="N116" s="82">
        <f t="shared" si="11"/>
        <v>7.4315090778941774E-3</v>
      </c>
      <c r="O116" s="81">
        <f t="shared" si="6"/>
        <v>1</v>
      </c>
      <c r="P116" s="111"/>
      <c r="Q116" s="129" t="s">
        <v>104</v>
      </c>
    </row>
    <row r="117" spans="1:17" ht="41.4" x14ac:dyDescent="0.3">
      <c r="A117" s="45" t="s">
        <v>82</v>
      </c>
      <c r="B117" s="149" t="s">
        <v>76</v>
      </c>
      <c r="C117" s="80" t="s">
        <v>77</v>
      </c>
      <c r="D117" s="80"/>
      <c r="E117" s="80" t="str">
        <f t="shared" si="9"/>
        <v xml:space="preserve">COMERCIALES Tierras y RCDs Restos de obras menores </v>
      </c>
      <c r="F117" s="80" t="s">
        <v>229</v>
      </c>
      <c r="G117" s="81">
        <v>1</v>
      </c>
      <c r="H117" s="81">
        <f t="shared" si="10"/>
        <v>116.2</v>
      </c>
      <c r="I117" s="81"/>
      <c r="J117" s="81"/>
      <c r="K117" s="81"/>
      <c r="L117" s="81"/>
      <c r="M117" s="81">
        <f t="shared" si="7"/>
        <v>115.2</v>
      </c>
      <c r="N117" s="82">
        <f t="shared" si="11"/>
        <v>7.4965835882084874E-3</v>
      </c>
      <c r="O117" s="81">
        <f t="shared" si="6"/>
        <v>1</v>
      </c>
      <c r="P117" s="111"/>
      <c r="Q117" s="129" t="s">
        <v>104</v>
      </c>
    </row>
    <row r="118" spans="1:17" ht="12.75" customHeight="1" x14ac:dyDescent="0.3">
      <c r="A118" s="45" t="s">
        <v>82</v>
      </c>
      <c r="B118" s="149" t="s">
        <v>41</v>
      </c>
      <c r="C118" s="83" t="s">
        <v>78</v>
      </c>
      <c r="D118" s="83"/>
      <c r="E118" s="83" t="str">
        <f t="shared" si="9"/>
        <v xml:space="preserve">COMERCIALES Otros Inclasificables mayores de 50 mm </v>
      </c>
      <c r="F118" s="83" t="s">
        <v>230</v>
      </c>
      <c r="G118" s="81">
        <v>1</v>
      </c>
      <c r="H118" s="81">
        <f t="shared" si="10"/>
        <v>117.2</v>
      </c>
      <c r="I118" s="81"/>
      <c r="J118" s="81"/>
      <c r="K118" s="81"/>
      <c r="L118" s="81"/>
      <c r="M118" s="81">
        <f t="shared" si="7"/>
        <v>116.2</v>
      </c>
      <c r="N118" s="82">
        <f t="shared" si="11"/>
        <v>7.5616580985227973E-3</v>
      </c>
      <c r="O118" s="81">
        <f t="shared" si="6"/>
        <v>1</v>
      </c>
      <c r="P118" s="112"/>
      <c r="Q118" s="92" t="s">
        <v>105</v>
      </c>
    </row>
    <row r="119" spans="1:17" ht="12.75" customHeight="1" x14ac:dyDescent="0.3">
      <c r="A119" s="45" t="s">
        <v>82</v>
      </c>
      <c r="B119" s="149" t="s">
        <v>41</v>
      </c>
      <c r="C119" s="83" t="s">
        <v>79</v>
      </c>
      <c r="D119" s="83"/>
      <c r="E119" s="83" t="str">
        <f t="shared" si="9"/>
        <v xml:space="preserve">COMERCIALES Otros Finos &lt; 50 mm (si &gt; 2kg*, se hará una analitica en laboratorio) </v>
      </c>
      <c r="F119" s="83" t="s">
        <v>231</v>
      </c>
      <c r="G119" s="81">
        <v>1</v>
      </c>
      <c r="H119" s="81">
        <f t="shared" si="10"/>
        <v>118.2</v>
      </c>
      <c r="I119" s="81"/>
      <c r="J119" s="81"/>
      <c r="K119" s="81"/>
      <c r="L119" s="81"/>
      <c r="M119" s="81">
        <f t="shared" si="7"/>
        <v>117.2</v>
      </c>
      <c r="N119" s="82">
        <f t="shared" si="11"/>
        <v>7.6267326088371072E-3</v>
      </c>
      <c r="O119" s="81">
        <f t="shared" si="6"/>
        <v>1</v>
      </c>
      <c r="P119" s="112"/>
      <c r="Q119" s="92" t="s">
        <v>105</v>
      </c>
    </row>
    <row r="120" spans="1:17" ht="12.75" customHeight="1" x14ac:dyDescent="0.3">
      <c r="A120" s="45" t="s">
        <v>82</v>
      </c>
      <c r="B120" s="149" t="s">
        <v>41</v>
      </c>
      <c r="C120" s="83" t="s">
        <v>46</v>
      </c>
      <c r="D120" s="83"/>
      <c r="E120" s="83" t="str">
        <f t="shared" si="9"/>
        <v xml:space="preserve">COMERCIALES Otros Cantidad de Producto en Envases (Sólido) </v>
      </c>
      <c r="F120" s="83" t="s">
        <v>232</v>
      </c>
      <c r="G120" s="81">
        <v>1</v>
      </c>
      <c r="H120" s="81">
        <f t="shared" si="10"/>
        <v>119.2</v>
      </c>
      <c r="I120" s="81"/>
      <c r="J120" s="81"/>
      <c r="K120" s="81"/>
      <c r="L120" s="81"/>
      <c r="M120" s="81">
        <f t="shared" si="7"/>
        <v>118.2</v>
      </c>
      <c r="N120" s="82">
        <f t="shared" si="11"/>
        <v>7.6918071191514163E-3</v>
      </c>
      <c r="O120" s="81">
        <f t="shared" si="6"/>
        <v>1</v>
      </c>
      <c r="P120" s="112"/>
      <c r="Q120" s="92" t="s">
        <v>105</v>
      </c>
    </row>
    <row r="121" spans="1:17" ht="12.75" customHeight="1" x14ac:dyDescent="0.3">
      <c r="A121" s="45" t="s">
        <v>82</v>
      </c>
      <c r="B121" s="149" t="s">
        <v>41</v>
      </c>
      <c r="C121" s="83" t="s">
        <v>47</v>
      </c>
      <c r="D121" s="83"/>
      <c r="E121" s="83" t="str">
        <f t="shared" si="9"/>
        <v xml:space="preserve">COMERCIALES Otros Cantidad de Producto en Envases (líquido-no aceite) </v>
      </c>
      <c r="F121" s="83" t="s">
        <v>233</v>
      </c>
      <c r="G121" s="81">
        <v>1</v>
      </c>
      <c r="H121" s="81">
        <f t="shared" si="10"/>
        <v>120.2</v>
      </c>
      <c r="I121" s="81"/>
      <c r="J121" s="81"/>
      <c r="K121" s="81"/>
      <c r="L121" s="81"/>
      <c r="M121" s="81">
        <f t="shared" si="7"/>
        <v>119.2</v>
      </c>
      <c r="N121" s="82">
        <f t="shared" si="11"/>
        <v>7.7568816294657263E-3</v>
      </c>
      <c r="O121" s="81">
        <f t="shared" si="6"/>
        <v>1</v>
      </c>
      <c r="P121" s="112"/>
      <c r="Q121" s="92" t="s">
        <v>105</v>
      </c>
    </row>
    <row r="122" spans="1:17" x14ac:dyDescent="0.3">
      <c r="A122" s="45" t="s">
        <v>82</v>
      </c>
      <c r="B122" s="149" t="s">
        <v>41</v>
      </c>
      <c r="C122" s="80" t="s">
        <v>49</v>
      </c>
      <c r="D122" s="80"/>
      <c r="E122" s="80" t="str">
        <f t="shared" si="9"/>
        <v xml:space="preserve">COMERCIALES Otros Caucho </v>
      </c>
      <c r="F122" s="80" t="s">
        <v>234</v>
      </c>
      <c r="G122" s="81">
        <v>1</v>
      </c>
      <c r="H122" s="81">
        <f t="shared" si="10"/>
        <v>121.2</v>
      </c>
      <c r="I122" s="81"/>
      <c r="J122" s="81"/>
      <c r="K122" s="81"/>
      <c r="L122" s="81"/>
      <c r="M122" s="81">
        <f t="shared" si="7"/>
        <v>120.2</v>
      </c>
      <c r="N122" s="82">
        <f t="shared" si="11"/>
        <v>7.8219561397800362E-3</v>
      </c>
      <c r="O122" s="81">
        <f t="shared" si="6"/>
        <v>1</v>
      </c>
      <c r="P122" s="111"/>
      <c r="Q122" s="92" t="s">
        <v>105</v>
      </c>
    </row>
    <row r="123" spans="1:17" ht="12.75" customHeight="1" x14ac:dyDescent="0.3">
      <c r="A123" s="45" t="s">
        <v>82</v>
      </c>
      <c r="B123" s="149" t="s">
        <v>41</v>
      </c>
      <c r="C123" s="83" t="s">
        <v>80</v>
      </c>
      <c r="D123" s="83"/>
      <c r="E123" s="83" t="str">
        <f t="shared" si="9"/>
        <v xml:space="preserve">COMERCIALES Otros Otros otros  (cuerdas multimaterial…) </v>
      </c>
      <c r="F123" s="83" t="s">
        <v>235</v>
      </c>
      <c r="G123" s="81">
        <v>1</v>
      </c>
      <c r="H123" s="81">
        <f t="shared" si="10"/>
        <v>122.2</v>
      </c>
      <c r="I123" s="81"/>
      <c r="J123" s="81"/>
      <c r="K123" s="81"/>
      <c r="L123" s="81"/>
      <c r="M123" s="81">
        <f t="shared" si="7"/>
        <v>121.2</v>
      </c>
      <c r="N123" s="82">
        <f t="shared" si="11"/>
        <v>7.8870306500943461E-3</v>
      </c>
      <c r="O123" s="81">
        <f t="shared" si="6"/>
        <v>1</v>
      </c>
      <c r="P123" s="112"/>
      <c r="Q123" s="92" t="s">
        <v>105</v>
      </c>
    </row>
    <row r="124" spans="1:17" ht="27.6" x14ac:dyDescent="0.3">
      <c r="A124" s="42" t="s">
        <v>90</v>
      </c>
      <c r="B124" s="143" t="s">
        <v>14</v>
      </c>
      <c r="C124" s="41"/>
      <c r="D124" s="46" t="s">
        <v>15</v>
      </c>
      <c r="E124" s="46" t="str">
        <f t="shared" si="9"/>
        <v>INDUSTRIALES / AGRICOLAS Papel – cartón  Papel y Cartón envase (Con Pto. Verde)</v>
      </c>
      <c r="F124" s="46" t="s">
        <v>236</v>
      </c>
      <c r="G124" s="41">
        <v>1</v>
      </c>
      <c r="H124" s="41">
        <f t="shared" si="10"/>
        <v>123.2</v>
      </c>
      <c r="I124" s="41"/>
      <c r="J124" s="41"/>
      <c r="K124" s="41"/>
      <c r="L124" s="41"/>
      <c r="M124" s="41">
        <f>SUM(H124:L124)-(G124*O124)</f>
        <v>122.2</v>
      </c>
      <c r="N124" s="47">
        <f>M124/SUM($M$16:$M$177)</f>
        <v>7.9521051604086561E-3</v>
      </c>
      <c r="O124" s="41">
        <f>COUNT(H124:L124)</f>
        <v>1</v>
      </c>
      <c r="P124" s="98"/>
      <c r="Q124" s="129" t="s">
        <v>104</v>
      </c>
    </row>
    <row r="125" spans="1:17" ht="27.6" x14ac:dyDescent="0.3">
      <c r="A125" s="42" t="s">
        <v>90</v>
      </c>
      <c r="B125" s="143" t="s">
        <v>14</v>
      </c>
      <c r="C125" s="41"/>
      <c r="D125" s="46" t="s">
        <v>16</v>
      </c>
      <c r="E125" s="46" t="str">
        <f t="shared" si="9"/>
        <v>INDUSTRIALES / AGRICOLAS Papel – cartón  Papel y Cartón envase (Sin Pto. Verde)</v>
      </c>
      <c r="F125" s="46" t="s">
        <v>237</v>
      </c>
      <c r="G125" s="41">
        <v>1</v>
      </c>
      <c r="H125" s="41">
        <f t="shared" si="10"/>
        <v>124.2</v>
      </c>
      <c r="I125" s="41"/>
      <c r="J125" s="41"/>
      <c r="K125" s="41"/>
      <c r="L125" s="41"/>
      <c r="M125" s="41">
        <f>SUM(H125:L125)-(G125*O125)</f>
        <v>123.2</v>
      </c>
      <c r="N125" s="47">
        <f>M125/SUM($M$16:$M$177)</f>
        <v>8.017179670722966E-3</v>
      </c>
      <c r="O125" s="41">
        <f t="shared" ref="O125:O177" si="12">COUNT(H125:L125)</f>
        <v>1</v>
      </c>
      <c r="P125" s="98"/>
      <c r="Q125" s="129" t="s">
        <v>104</v>
      </c>
    </row>
    <row r="126" spans="1:17" ht="27.6" x14ac:dyDescent="0.3">
      <c r="A126" s="42" t="s">
        <v>90</v>
      </c>
      <c r="B126" s="143" t="s">
        <v>14</v>
      </c>
      <c r="C126" s="41"/>
      <c r="D126" s="46" t="s">
        <v>17</v>
      </c>
      <c r="E126" s="46" t="str">
        <f t="shared" si="9"/>
        <v>INDUSTRIALES / AGRICOLAS Papel – cartón  Papel/Cartón No Envase</v>
      </c>
      <c r="F126" s="46" t="s">
        <v>238</v>
      </c>
      <c r="G126" s="41">
        <v>1</v>
      </c>
      <c r="H126" s="41">
        <f t="shared" si="10"/>
        <v>125.2</v>
      </c>
      <c r="I126" s="41"/>
      <c r="J126" s="41"/>
      <c r="K126" s="41"/>
      <c r="L126" s="41"/>
      <c r="M126" s="41">
        <f t="shared" ref="M126:M177" si="13">SUM(H126:L126)-(G126*O126)</f>
        <v>124.2</v>
      </c>
      <c r="N126" s="47">
        <f t="shared" ref="N126:N177" si="14">M126/SUM($M$16:$M$177)</f>
        <v>8.082254181037276E-3</v>
      </c>
      <c r="O126" s="41">
        <f t="shared" si="12"/>
        <v>1</v>
      </c>
      <c r="P126" s="98"/>
      <c r="Q126" s="129" t="s">
        <v>104</v>
      </c>
    </row>
    <row r="127" spans="1:17" x14ac:dyDescent="0.3">
      <c r="A127" s="42" t="s">
        <v>90</v>
      </c>
      <c r="B127" s="144" t="s">
        <v>18</v>
      </c>
      <c r="C127" s="48"/>
      <c r="D127" s="49" t="s">
        <v>19</v>
      </c>
      <c r="E127" s="49" t="str">
        <f t="shared" si="9"/>
        <v>INDUSTRIALES / AGRICOLAS Brik  Envase</v>
      </c>
      <c r="F127" s="49" t="s">
        <v>239</v>
      </c>
      <c r="G127" s="48">
        <v>1</v>
      </c>
      <c r="H127" s="48">
        <f t="shared" si="10"/>
        <v>126.2</v>
      </c>
      <c r="I127" s="48"/>
      <c r="J127" s="48"/>
      <c r="K127" s="48"/>
      <c r="L127" s="48"/>
      <c r="M127" s="48">
        <f t="shared" si="13"/>
        <v>125.2</v>
      </c>
      <c r="N127" s="50">
        <f t="shared" si="14"/>
        <v>8.1473286913515859E-3</v>
      </c>
      <c r="O127" s="48">
        <f t="shared" si="12"/>
        <v>1</v>
      </c>
      <c r="P127" s="99"/>
      <c r="Q127" s="129" t="s">
        <v>104</v>
      </c>
    </row>
    <row r="128" spans="1:17" x14ac:dyDescent="0.3">
      <c r="A128" s="42" t="s">
        <v>90</v>
      </c>
      <c r="B128" s="145" t="s">
        <v>51</v>
      </c>
      <c r="C128" s="44"/>
      <c r="D128" s="51" t="s">
        <v>19</v>
      </c>
      <c r="E128" s="51" t="str">
        <f t="shared" si="9"/>
        <v>INDUSTRIALES / AGRICOLAS Vidrio   Envase</v>
      </c>
      <c r="F128" s="51" t="s">
        <v>240</v>
      </c>
      <c r="G128" s="44">
        <v>1</v>
      </c>
      <c r="H128" s="44">
        <f t="shared" si="10"/>
        <v>127.2</v>
      </c>
      <c r="I128" s="44"/>
      <c r="J128" s="44"/>
      <c r="K128" s="44"/>
      <c r="L128" s="44"/>
      <c r="M128" s="44">
        <f t="shared" si="13"/>
        <v>126.2</v>
      </c>
      <c r="N128" s="52">
        <f t="shared" si="14"/>
        <v>8.2124032016658959E-3</v>
      </c>
      <c r="O128" s="44">
        <f t="shared" si="12"/>
        <v>1</v>
      </c>
      <c r="P128" s="100"/>
      <c r="Q128" s="129" t="s">
        <v>104</v>
      </c>
    </row>
    <row r="129" spans="1:17" x14ac:dyDescent="0.3">
      <c r="A129" s="42" t="s">
        <v>90</v>
      </c>
      <c r="B129" s="145" t="s">
        <v>51</v>
      </c>
      <c r="C129" s="44"/>
      <c r="D129" s="51" t="s">
        <v>20</v>
      </c>
      <c r="E129" s="51" t="str">
        <f t="shared" si="9"/>
        <v>INDUSTRIALES / AGRICOLAS Vidrio   No envase</v>
      </c>
      <c r="F129" s="51" t="s">
        <v>241</v>
      </c>
      <c r="G129" s="44">
        <v>1</v>
      </c>
      <c r="H129" s="44">
        <f t="shared" si="10"/>
        <v>128.19999999999999</v>
      </c>
      <c r="I129" s="44"/>
      <c r="J129" s="44"/>
      <c r="K129" s="44"/>
      <c r="L129" s="44"/>
      <c r="M129" s="44">
        <f t="shared" si="13"/>
        <v>127.19999999999999</v>
      </c>
      <c r="N129" s="52">
        <f t="shared" si="14"/>
        <v>8.2774777119802041E-3</v>
      </c>
      <c r="O129" s="44">
        <f t="shared" si="12"/>
        <v>1</v>
      </c>
      <c r="P129" s="100"/>
      <c r="Q129" s="129" t="s">
        <v>104</v>
      </c>
    </row>
    <row r="130" spans="1:17" x14ac:dyDescent="0.3">
      <c r="A130" s="42" t="s">
        <v>90</v>
      </c>
      <c r="B130" s="146" t="s">
        <v>21</v>
      </c>
      <c r="C130" s="42" t="s">
        <v>22</v>
      </c>
      <c r="D130" s="55" t="s">
        <v>19</v>
      </c>
      <c r="E130" s="55" t="str">
        <f t="shared" si="9"/>
        <v>INDUSTRIALES / AGRICOLAS Metales férricos Acero Envase</v>
      </c>
      <c r="F130" s="55" t="s">
        <v>242</v>
      </c>
      <c r="G130" s="42">
        <v>1</v>
      </c>
      <c r="H130" s="42">
        <f t="shared" si="10"/>
        <v>129.19999999999999</v>
      </c>
      <c r="I130" s="42"/>
      <c r="J130" s="42"/>
      <c r="K130" s="42"/>
      <c r="L130" s="42"/>
      <c r="M130" s="42">
        <f t="shared" si="13"/>
        <v>128.19999999999999</v>
      </c>
      <c r="N130" s="56">
        <f t="shared" si="14"/>
        <v>8.342552222294514E-3</v>
      </c>
      <c r="O130" s="42">
        <f t="shared" si="12"/>
        <v>1</v>
      </c>
      <c r="P130" s="101"/>
      <c r="Q130" s="129" t="s">
        <v>104</v>
      </c>
    </row>
    <row r="131" spans="1:17" ht="27.6" x14ac:dyDescent="0.3">
      <c r="A131" s="42" t="s">
        <v>90</v>
      </c>
      <c r="B131" s="146" t="s">
        <v>21</v>
      </c>
      <c r="C131" s="42" t="s">
        <v>22</v>
      </c>
      <c r="D131" s="55" t="s">
        <v>20</v>
      </c>
      <c r="E131" s="55" t="str">
        <f t="shared" si="9"/>
        <v>INDUSTRIALES / AGRICOLAS Metales férricos Acero No envase</v>
      </c>
      <c r="F131" s="55" t="s">
        <v>243</v>
      </c>
      <c r="G131" s="42">
        <v>1</v>
      </c>
      <c r="H131" s="42">
        <f t="shared" si="10"/>
        <v>130.19999999999999</v>
      </c>
      <c r="I131" s="42"/>
      <c r="J131" s="42"/>
      <c r="K131" s="42"/>
      <c r="L131" s="42"/>
      <c r="M131" s="42">
        <f t="shared" si="13"/>
        <v>129.19999999999999</v>
      </c>
      <c r="N131" s="56">
        <f t="shared" si="14"/>
        <v>8.4076267326088239E-3</v>
      </c>
      <c r="O131" s="42">
        <f t="shared" si="12"/>
        <v>1</v>
      </c>
      <c r="P131" s="101"/>
      <c r="Q131" s="92" t="s">
        <v>105</v>
      </c>
    </row>
    <row r="132" spans="1:17" ht="27.6" x14ac:dyDescent="0.3">
      <c r="A132" s="42" t="s">
        <v>90</v>
      </c>
      <c r="B132" s="146" t="s">
        <v>23</v>
      </c>
      <c r="C132" s="42" t="s">
        <v>24</v>
      </c>
      <c r="D132" s="55" t="s">
        <v>19</v>
      </c>
      <c r="E132" s="55" t="str">
        <f t="shared" si="9"/>
        <v>INDUSTRIALES / AGRICOLAS Metales no férricos Aluminio Envase</v>
      </c>
      <c r="F132" s="55" t="s">
        <v>244</v>
      </c>
      <c r="G132" s="42">
        <v>1</v>
      </c>
      <c r="H132" s="42">
        <f t="shared" si="10"/>
        <v>131.19999999999999</v>
      </c>
      <c r="I132" s="42"/>
      <c r="J132" s="42"/>
      <c r="K132" s="42"/>
      <c r="L132" s="42"/>
      <c r="M132" s="42">
        <f t="shared" si="13"/>
        <v>130.19999999999999</v>
      </c>
      <c r="N132" s="56">
        <f t="shared" si="14"/>
        <v>8.4727012429231339E-3</v>
      </c>
      <c r="O132" s="42">
        <f t="shared" si="12"/>
        <v>1</v>
      </c>
      <c r="P132" s="101"/>
      <c r="Q132" s="129" t="s">
        <v>104</v>
      </c>
    </row>
    <row r="133" spans="1:17" ht="27.6" x14ac:dyDescent="0.3">
      <c r="A133" s="42" t="s">
        <v>90</v>
      </c>
      <c r="B133" s="146" t="s">
        <v>23</v>
      </c>
      <c r="C133" s="42" t="s">
        <v>24</v>
      </c>
      <c r="D133" s="55" t="s">
        <v>20</v>
      </c>
      <c r="E133" s="55" t="str">
        <f t="shared" si="9"/>
        <v>INDUSTRIALES / AGRICOLAS Metales no férricos Aluminio No envase</v>
      </c>
      <c r="F133" s="55" t="s">
        <v>245</v>
      </c>
      <c r="G133" s="42">
        <v>1</v>
      </c>
      <c r="H133" s="42">
        <f t="shared" si="10"/>
        <v>132.19999999999999</v>
      </c>
      <c r="I133" s="42"/>
      <c r="J133" s="42"/>
      <c r="K133" s="42"/>
      <c r="L133" s="42"/>
      <c r="M133" s="42">
        <f t="shared" si="13"/>
        <v>131.19999999999999</v>
      </c>
      <c r="N133" s="56">
        <f t="shared" si="14"/>
        <v>8.5377757532374438E-3</v>
      </c>
      <c r="O133" s="42">
        <f t="shared" si="12"/>
        <v>1</v>
      </c>
      <c r="P133" s="101"/>
      <c r="Q133" s="92" t="s">
        <v>105</v>
      </c>
    </row>
    <row r="134" spans="1:17" x14ac:dyDescent="0.3">
      <c r="A134" s="42" t="s">
        <v>90</v>
      </c>
      <c r="B134" s="147" t="s">
        <v>25</v>
      </c>
      <c r="C134" s="57"/>
      <c r="D134" s="58" t="s">
        <v>19</v>
      </c>
      <c r="E134" s="58" t="str">
        <f t="shared" si="9"/>
        <v>INDUSTRIALES / AGRICOLAS Madera  Envase</v>
      </c>
      <c r="F134" s="58" t="s">
        <v>246</v>
      </c>
      <c r="G134" s="57">
        <v>1</v>
      </c>
      <c r="H134" s="57">
        <f t="shared" si="10"/>
        <v>133.19999999999999</v>
      </c>
      <c r="I134" s="57"/>
      <c r="J134" s="57"/>
      <c r="K134" s="57"/>
      <c r="L134" s="57"/>
      <c r="M134" s="57">
        <f t="shared" si="13"/>
        <v>132.19999999999999</v>
      </c>
      <c r="N134" s="59">
        <f t="shared" si="14"/>
        <v>8.602850263551752E-3</v>
      </c>
      <c r="O134" s="57">
        <f t="shared" si="12"/>
        <v>1</v>
      </c>
      <c r="P134" s="102"/>
      <c r="Q134" s="129" t="s">
        <v>104</v>
      </c>
    </row>
    <row r="135" spans="1:17" x14ac:dyDescent="0.3">
      <c r="A135" s="42" t="s">
        <v>90</v>
      </c>
      <c r="B135" s="147" t="s">
        <v>25</v>
      </c>
      <c r="C135" s="57"/>
      <c r="D135" s="58" t="s">
        <v>20</v>
      </c>
      <c r="E135" s="58" t="str">
        <f t="shared" si="9"/>
        <v>INDUSTRIALES / AGRICOLAS Madera  No envase</v>
      </c>
      <c r="F135" s="58" t="s">
        <v>247</v>
      </c>
      <c r="G135" s="57">
        <v>1</v>
      </c>
      <c r="H135" s="57">
        <f t="shared" si="10"/>
        <v>134.19999999999999</v>
      </c>
      <c r="I135" s="57"/>
      <c r="J135" s="57"/>
      <c r="K135" s="57"/>
      <c r="L135" s="57"/>
      <c r="M135" s="57">
        <f t="shared" si="13"/>
        <v>133.19999999999999</v>
      </c>
      <c r="N135" s="59">
        <f t="shared" si="14"/>
        <v>8.667924773866062E-3</v>
      </c>
      <c r="O135" s="57">
        <f t="shared" si="12"/>
        <v>1</v>
      </c>
      <c r="P135" s="102"/>
      <c r="Q135" s="92" t="s">
        <v>105</v>
      </c>
    </row>
    <row r="136" spans="1:17" ht="27.6" x14ac:dyDescent="0.3">
      <c r="A136" s="42" t="s">
        <v>90</v>
      </c>
      <c r="B136" s="144" t="s">
        <v>89</v>
      </c>
      <c r="C136" s="49" t="s">
        <v>27</v>
      </c>
      <c r="D136" s="49" t="s">
        <v>19</v>
      </c>
      <c r="E136" s="49" t="str">
        <f t="shared" si="9"/>
        <v>INDUSTRIALES / AGRICOLAS Plásticos (excepto SUP*) PET  Envase</v>
      </c>
      <c r="F136" s="49" t="s">
        <v>248</v>
      </c>
      <c r="G136" s="48">
        <v>1</v>
      </c>
      <c r="H136" s="48">
        <f t="shared" si="10"/>
        <v>135.19999999999999</v>
      </c>
      <c r="I136" s="48"/>
      <c r="J136" s="48"/>
      <c r="K136" s="48"/>
      <c r="L136" s="48"/>
      <c r="M136" s="48">
        <f t="shared" si="13"/>
        <v>134.19999999999999</v>
      </c>
      <c r="N136" s="50">
        <f t="shared" si="14"/>
        <v>8.7329992841803719E-3</v>
      </c>
      <c r="O136" s="48">
        <f t="shared" si="12"/>
        <v>1</v>
      </c>
      <c r="P136" s="99"/>
      <c r="Q136" s="129" t="s">
        <v>104</v>
      </c>
    </row>
    <row r="137" spans="1:17" ht="27.6" x14ac:dyDescent="0.3">
      <c r="A137" s="42" t="s">
        <v>90</v>
      </c>
      <c r="B137" s="144" t="s">
        <v>89</v>
      </c>
      <c r="C137" s="49" t="s">
        <v>27</v>
      </c>
      <c r="D137" s="49" t="s">
        <v>20</v>
      </c>
      <c r="E137" s="49" t="str">
        <f t="shared" si="9"/>
        <v>INDUSTRIALES / AGRICOLAS Plásticos (excepto SUP*) PET  No envase</v>
      </c>
      <c r="F137" s="49" t="s">
        <v>249</v>
      </c>
      <c r="G137" s="48">
        <v>1</v>
      </c>
      <c r="H137" s="48">
        <f t="shared" si="10"/>
        <v>136.19999999999999</v>
      </c>
      <c r="I137" s="48"/>
      <c r="J137" s="48"/>
      <c r="K137" s="48"/>
      <c r="L137" s="48"/>
      <c r="M137" s="48">
        <f t="shared" si="13"/>
        <v>135.19999999999999</v>
      </c>
      <c r="N137" s="50">
        <f t="shared" si="14"/>
        <v>8.7980737944946819E-3</v>
      </c>
      <c r="O137" s="48">
        <f t="shared" si="12"/>
        <v>1</v>
      </c>
      <c r="P137" s="99"/>
      <c r="Q137" s="92" t="s">
        <v>105</v>
      </c>
    </row>
    <row r="138" spans="1:17" ht="27.6" x14ac:dyDescent="0.3">
      <c r="A138" s="42" t="s">
        <v>90</v>
      </c>
      <c r="B138" s="144" t="s">
        <v>89</v>
      </c>
      <c r="C138" s="49" t="s">
        <v>59</v>
      </c>
      <c r="D138" s="49" t="s">
        <v>19</v>
      </c>
      <c r="E138" s="49" t="str">
        <f t="shared" si="9"/>
        <v>INDUSTRIALES / AGRICOLAS Plásticos (excepto SUP*) PEAD Envase</v>
      </c>
      <c r="F138" s="49" t="s">
        <v>250</v>
      </c>
      <c r="G138" s="48">
        <v>1</v>
      </c>
      <c r="H138" s="48">
        <f t="shared" si="10"/>
        <v>137.19999999999999</v>
      </c>
      <c r="I138" s="48"/>
      <c r="J138" s="48"/>
      <c r="K138" s="48"/>
      <c r="L138" s="48"/>
      <c r="M138" s="48">
        <f t="shared" si="13"/>
        <v>136.19999999999999</v>
      </c>
      <c r="N138" s="50">
        <f t="shared" si="14"/>
        <v>8.8631483048089918E-3</v>
      </c>
      <c r="O138" s="48">
        <f t="shared" si="12"/>
        <v>1</v>
      </c>
      <c r="P138" s="99"/>
      <c r="Q138" s="129" t="s">
        <v>104</v>
      </c>
    </row>
    <row r="139" spans="1:17" ht="27.6" x14ac:dyDescent="0.3">
      <c r="A139" s="42" t="s">
        <v>90</v>
      </c>
      <c r="B139" s="144" t="s">
        <v>89</v>
      </c>
      <c r="C139" s="49" t="s">
        <v>59</v>
      </c>
      <c r="D139" s="49" t="s">
        <v>20</v>
      </c>
      <c r="E139" s="49" t="str">
        <f t="shared" si="9"/>
        <v>INDUSTRIALES / AGRICOLAS Plásticos (excepto SUP*) PEAD No envase</v>
      </c>
      <c r="F139" s="49" t="s">
        <v>251</v>
      </c>
      <c r="G139" s="48">
        <v>1</v>
      </c>
      <c r="H139" s="48">
        <f t="shared" si="10"/>
        <v>138.19999999999999</v>
      </c>
      <c r="I139" s="48"/>
      <c r="J139" s="48"/>
      <c r="K139" s="48"/>
      <c r="L139" s="48"/>
      <c r="M139" s="48">
        <f t="shared" si="13"/>
        <v>137.19999999999999</v>
      </c>
      <c r="N139" s="50">
        <f t="shared" si="14"/>
        <v>8.9282228151233017E-3</v>
      </c>
      <c r="O139" s="48">
        <f t="shared" si="12"/>
        <v>1</v>
      </c>
      <c r="P139" s="99"/>
      <c r="Q139" s="92" t="s">
        <v>105</v>
      </c>
    </row>
    <row r="140" spans="1:17" ht="27.6" x14ac:dyDescent="0.3">
      <c r="A140" s="42" t="s">
        <v>90</v>
      </c>
      <c r="B140" s="144" t="s">
        <v>89</v>
      </c>
      <c r="C140" s="49" t="s">
        <v>60</v>
      </c>
      <c r="D140" s="49" t="s">
        <v>19</v>
      </c>
      <c r="E140" s="49" t="str">
        <f t="shared" si="9"/>
        <v>INDUSTRIALES / AGRICOLAS Plásticos (excepto SUP*) PEBD Envase</v>
      </c>
      <c r="F140" s="49" t="s">
        <v>252</v>
      </c>
      <c r="G140" s="48">
        <v>1</v>
      </c>
      <c r="H140" s="48">
        <f t="shared" si="10"/>
        <v>139.19999999999999</v>
      </c>
      <c r="I140" s="48"/>
      <c r="J140" s="48"/>
      <c r="K140" s="48"/>
      <c r="L140" s="48"/>
      <c r="M140" s="48">
        <f t="shared" si="13"/>
        <v>138.19999999999999</v>
      </c>
      <c r="N140" s="50">
        <f t="shared" si="14"/>
        <v>8.9932973254376117E-3</v>
      </c>
      <c r="O140" s="48">
        <f t="shared" si="12"/>
        <v>1</v>
      </c>
      <c r="P140" s="99"/>
      <c r="Q140" s="129" t="s">
        <v>104</v>
      </c>
    </row>
    <row r="141" spans="1:17" ht="27.6" x14ac:dyDescent="0.3">
      <c r="A141" s="42" t="s">
        <v>90</v>
      </c>
      <c r="B141" s="144" t="s">
        <v>89</v>
      </c>
      <c r="C141" s="49" t="s">
        <v>60</v>
      </c>
      <c r="D141" s="49" t="s">
        <v>20</v>
      </c>
      <c r="E141" s="49" t="str">
        <f t="shared" si="9"/>
        <v>INDUSTRIALES / AGRICOLAS Plásticos (excepto SUP*) PEBD No envase</v>
      </c>
      <c r="F141" s="49" t="s">
        <v>253</v>
      </c>
      <c r="G141" s="48">
        <v>1</v>
      </c>
      <c r="H141" s="48">
        <f t="shared" si="10"/>
        <v>140.19999999999999</v>
      </c>
      <c r="I141" s="48"/>
      <c r="J141" s="48"/>
      <c r="K141" s="48"/>
      <c r="L141" s="48"/>
      <c r="M141" s="48">
        <f t="shared" si="13"/>
        <v>139.19999999999999</v>
      </c>
      <c r="N141" s="50">
        <f t="shared" si="14"/>
        <v>9.0583718357519216E-3</v>
      </c>
      <c r="O141" s="48">
        <f t="shared" si="12"/>
        <v>1</v>
      </c>
      <c r="P141" s="99"/>
      <c r="Q141" s="92" t="s">
        <v>105</v>
      </c>
    </row>
    <row r="142" spans="1:17" ht="27.6" x14ac:dyDescent="0.3">
      <c r="A142" s="42" t="s">
        <v>90</v>
      </c>
      <c r="B142" s="144" t="s">
        <v>89</v>
      </c>
      <c r="C142" s="49" t="s">
        <v>29</v>
      </c>
      <c r="D142" s="49" t="s">
        <v>19</v>
      </c>
      <c r="E142" s="49" t="str">
        <f t="shared" si="9"/>
        <v>INDUSTRIALES / AGRICOLAS Plásticos (excepto SUP*) PVC Envase</v>
      </c>
      <c r="F142" s="49" t="s">
        <v>254</v>
      </c>
      <c r="G142" s="48">
        <v>1</v>
      </c>
      <c r="H142" s="48">
        <f t="shared" si="10"/>
        <v>141.19999999999999</v>
      </c>
      <c r="I142" s="48"/>
      <c r="J142" s="48"/>
      <c r="K142" s="48"/>
      <c r="L142" s="48"/>
      <c r="M142" s="48">
        <f t="shared" si="13"/>
        <v>140.19999999999999</v>
      </c>
      <c r="N142" s="50">
        <f t="shared" si="14"/>
        <v>9.1234463460662316E-3</v>
      </c>
      <c r="O142" s="48">
        <f t="shared" si="12"/>
        <v>1</v>
      </c>
      <c r="P142" s="99"/>
      <c r="Q142" s="129" t="s">
        <v>104</v>
      </c>
    </row>
    <row r="143" spans="1:17" ht="27.6" x14ac:dyDescent="0.3">
      <c r="A143" s="42" t="s">
        <v>90</v>
      </c>
      <c r="B143" s="144" t="s">
        <v>89</v>
      </c>
      <c r="C143" s="49" t="s">
        <v>29</v>
      </c>
      <c r="D143" s="49" t="s">
        <v>20</v>
      </c>
      <c r="E143" s="49" t="str">
        <f t="shared" si="9"/>
        <v>INDUSTRIALES / AGRICOLAS Plásticos (excepto SUP*) PVC No envase</v>
      </c>
      <c r="F143" s="49" t="s">
        <v>255</v>
      </c>
      <c r="G143" s="48">
        <v>1</v>
      </c>
      <c r="H143" s="48">
        <f t="shared" si="10"/>
        <v>142.19999999999999</v>
      </c>
      <c r="I143" s="48"/>
      <c r="J143" s="48"/>
      <c r="K143" s="48"/>
      <c r="L143" s="48"/>
      <c r="M143" s="48">
        <f t="shared" si="13"/>
        <v>141.19999999999999</v>
      </c>
      <c r="N143" s="50">
        <f t="shared" si="14"/>
        <v>9.1885208563805415E-3</v>
      </c>
      <c r="O143" s="48">
        <f t="shared" si="12"/>
        <v>1</v>
      </c>
      <c r="P143" s="99"/>
      <c r="Q143" s="92" t="s">
        <v>105</v>
      </c>
    </row>
    <row r="144" spans="1:17" ht="27.6" x14ac:dyDescent="0.3">
      <c r="A144" s="42" t="s">
        <v>90</v>
      </c>
      <c r="B144" s="144" t="s">
        <v>89</v>
      </c>
      <c r="C144" s="49" t="s">
        <v>30</v>
      </c>
      <c r="D144" s="49" t="s">
        <v>19</v>
      </c>
      <c r="E144" s="49" t="str">
        <f t="shared" si="9"/>
        <v>INDUSTRIALES / AGRICOLAS Plásticos (excepto SUP*) PP Envase</v>
      </c>
      <c r="F144" s="49" t="s">
        <v>256</v>
      </c>
      <c r="G144" s="48">
        <v>1</v>
      </c>
      <c r="H144" s="48">
        <f t="shared" si="10"/>
        <v>143.19999999999999</v>
      </c>
      <c r="I144" s="48"/>
      <c r="J144" s="48"/>
      <c r="K144" s="48"/>
      <c r="L144" s="48"/>
      <c r="M144" s="48">
        <f t="shared" si="13"/>
        <v>142.19999999999999</v>
      </c>
      <c r="N144" s="50">
        <f t="shared" si="14"/>
        <v>9.2535953666948514E-3</v>
      </c>
      <c r="O144" s="48">
        <f t="shared" si="12"/>
        <v>1</v>
      </c>
      <c r="P144" s="99"/>
      <c r="Q144" s="129" t="s">
        <v>104</v>
      </c>
    </row>
    <row r="145" spans="1:17" ht="27.6" x14ac:dyDescent="0.3">
      <c r="A145" s="42" t="s">
        <v>90</v>
      </c>
      <c r="B145" s="144" t="s">
        <v>89</v>
      </c>
      <c r="C145" s="49" t="s">
        <v>30</v>
      </c>
      <c r="D145" s="49" t="s">
        <v>20</v>
      </c>
      <c r="E145" s="49" t="str">
        <f t="shared" ref="E145:E177" si="15">A145&amp;" "&amp;B145&amp;" "&amp;C145&amp;" "&amp;D145</f>
        <v>INDUSTRIALES / AGRICOLAS Plásticos (excepto SUP*) PP No envase</v>
      </c>
      <c r="F145" s="49" t="s">
        <v>257</v>
      </c>
      <c r="G145" s="48">
        <v>1</v>
      </c>
      <c r="H145" s="48">
        <f t="shared" si="10"/>
        <v>144.19999999999999</v>
      </c>
      <c r="I145" s="48"/>
      <c r="J145" s="48"/>
      <c r="K145" s="48"/>
      <c r="L145" s="48"/>
      <c r="M145" s="48">
        <f t="shared" si="13"/>
        <v>143.19999999999999</v>
      </c>
      <c r="N145" s="50">
        <f t="shared" si="14"/>
        <v>9.3186698770091596E-3</v>
      </c>
      <c r="O145" s="48">
        <f t="shared" si="12"/>
        <v>1</v>
      </c>
      <c r="P145" s="99"/>
      <c r="Q145" s="92" t="s">
        <v>105</v>
      </c>
    </row>
    <row r="146" spans="1:17" ht="27.6" x14ac:dyDescent="0.3">
      <c r="A146" s="42" t="s">
        <v>90</v>
      </c>
      <c r="B146" s="144" t="s">
        <v>89</v>
      </c>
      <c r="C146" s="49" t="s">
        <v>31</v>
      </c>
      <c r="D146" s="49" t="s">
        <v>19</v>
      </c>
      <c r="E146" s="49" t="str">
        <f t="shared" si="15"/>
        <v>INDUSTRIALES / AGRICOLAS Plásticos (excepto SUP*) PS (excepto EPS) Envase</v>
      </c>
      <c r="F146" s="49" t="s">
        <v>258</v>
      </c>
      <c r="G146" s="48">
        <v>1</v>
      </c>
      <c r="H146" s="48">
        <f t="shared" ref="H146:H177" si="16">H145+1</f>
        <v>145.19999999999999</v>
      </c>
      <c r="I146" s="48"/>
      <c r="J146" s="48"/>
      <c r="K146" s="48"/>
      <c r="L146" s="48"/>
      <c r="M146" s="48">
        <f t="shared" si="13"/>
        <v>144.19999999999999</v>
      </c>
      <c r="N146" s="50">
        <f t="shared" si="14"/>
        <v>9.3837443873234696E-3</v>
      </c>
      <c r="O146" s="48">
        <f t="shared" si="12"/>
        <v>1</v>
      </c>
      <c r="P146" s="99"/>
      <c r="Q146" s="129" t="s">
        <v>104</v>
      </c>
    </row>
    <row r="147" spans="1:17" ht="27.6" x14ac:dyDescent="0.3">
      <c r="A147" s="42" t="s">
        <v>90</v>
      </c>
      <c r="B147" s="144" t="s">
        <v>89</v>
      </c>
      <c r="C147" s="49" t="s">
        <v>31</v>
      </c>
      <c r="D147" s="49" t="s">
        <v>20</v>
      </c>
      <c r="E147" s="49" t="str">
        <f t="shared" si="15"/>
        <v>INDUSTRIALES / AGRICOLAS Plásticos (excepto SUP*) PS (excepto EPS) No envase</v>
      </c>
      <c r="F147" s="49" t="s">
        <v>259</v>
      </c>
      <c r="G147" s="48">
        <v>1</v>
      </c>
      <c r="H147" s="60">
        <f t="shared" si="16"/>
        <v>146.19999999999999</v>
      </c>
      <c r="I147" s="60"/>
      <c r="J147" s="60"/>
      <c r="K147" s="60"/>
      <c r="L147" s="60"/>
      <c r="M147" s="48">
        <f t="shared" si="13"/>
        <v>145.19999999999999</v>
      </c>
      <c r="N147" s="50">
        <f t="shared" si="14"/>
        <v>9.4488188976377795E-3</v>
      </c>
      <c r="O147" s="48">
        <f t="shared" si="12"/>
        <v>1</v>
      </c>
      <c r="P147" s="99"/>
      <c r="Q147" s="92" t="s">
        <v>105</v>
      </c>
    </row>
    <row r="148" spans="1:17" ht="27.6" x14ac:dyDescent="0.3">
      <c r="A148" s="42" t="s">
        <v>90</v>
      </c>
      <c r="B148" s="144" t="s">
        <v>89</v>
      </c>
      <c r="C148" s="49" t="s">
        <v>32</v>
      </c>
      <c r="D148" s="49" t="s">
        <v>19</v>
      </c>
      <c r="E148" s="49" t="str">
        <f t="shared" si="15"/>
        <v>INDUSTRIALES / AGRICOLAS Plásticos (excepto SUP*) EPS Envase</v>
      </c>
      <c r="F148" s="49" t="s">
        <v>260</v>
      </c>
      <c r="G148" s="48">
        <v>1</v>
      </c>
      <c r="H148" s="60">
        <f t="shared" si="16"/>
        <v>147.19999999999999</v>
      </c>
      <c r="I148" s="60"/>
      <c r="J148" s="60"/>
      <c r="K148" s="60"/>
      <c r="L148" s="60"/>
      <c r="M148" s="48">
        <f t="shared" si="13"/>
        <v>146.19999999999999</v>
      </c>
      <c r="N148" s="50">
        <f t="shared" si="14"/>
        <v>9.5138934079520895E-3</v>
      </c>
      <c r="O148" s="48">
        <f t="shared" si="12"/>
        <v>1</v>
      </c>
      <c r="P148" s="99"/>
      <c r="Q148" s="129" t="s">
        <v>104</v>
      </c>
    </row>
    <row r="149" spans="1:17" ht="27.6" x14ac:dyDescent="0.3">
      <c r="A149" s="42" t="s">
        <v>90</v>
      </c>
      <c r="B149" s="144" t="s">
        <v>89</v>
      </c>
      <c r="C149" s="49" t="s">
        <v>32</v>
      </c>
      <c r="D149" s="49" t="s">
        <v>20</v>
      </c>
      <c r="E149" s="49" t="str">
        <f t="shared" si="15"/>
        <v>INDUSTRIALES / AGRICOLAS Plásticos (excepto SUP*) EPS No envase</v>
      </c>
      <c r="F149" s="49" t="s">
        <v>261</v>
      </c>
      <c r="G149" s="48">
        <v>1</v>
      </c>
      <c r="H149" s="60">
        <f t="shared" si="16"/>
        <v>148.19999999999999</v>
      </c>
      <c r="I149" s="60"/>
      <c r="J149" s="60"/>
      <c r="K149" s="60"/>
      <c r="L149" s="60"/>
      <c r="M149" s="48">
        <f t="shared" si="13"/>
        <v>147.19999999999999</v>
      </c>
      <c r="N149" s="50">
        <f t="shared" si="14"/>
        <v>9.5789679182663994E-3</v>
      </c>
      <c r="O149" s="48">
        <f t="shared" si="12"/>
        <v>1</v>
      </c>
      <c r="P149" s="99"/>
      <c r="Q149" s="92" t="s">
        <v>105</v>
      </c>
    </row>
    <row r="150" spans="1:17" ht="27.6" x14ac:dyDescent="0.3">
      <c r="A150" s="42" t="s">
        <v>90</v>
      </c>
      <c r="B150" s="144" t="s">
        <v>89</v>
      </c>
      <c r="C150" s="49" t="s">
        <v>33</v>
      </c>
      <c r="D150" s="49" t="s">
        <v>19</v>
      </c>
      <c r="E150" s="49" t="str">
        <f t="shared" si="15"/>
        <v>INDUSTRIALES / AGRICOLAS Plásticos (excepto SUP*) Otros Plásticos Envase</v>
      </c>
      <c r="F150" s="49" t="s">
        <v>262</v>
      </c>
      <c r="G150" s="48">
        <v>1</v>
      </c>
      <c r="H150" s="60">
        <f t="shared" si="16"/>
        <v>149.19999999999999</v>
      </c>
      <c r="I150" s="60"/>
      <c r="J150" s="60"/>
      <c r="K150" s="60"/>
      <c r="L150" s="60"/>
      <c r="M150" s="48">
        <f t="shared" si="13"/>
        <v>148.19999999999999</v>
      </c>
      <c r="N150" s="50">
        <f t="shared" si="14"/>
        <v>9.6440424285807094E-3</v>
      </c>
      <c r="O150" s="48">
        <f t="shared" si="12"/>
        <v>1</v>
      </c>
      <c r="P150" s="99"/>
      <c r="Q150" s="129" t="s">
        <v>104</v>
      </c>
    </row>
    <row r="151" spans="1:17" ht="27.6" x14ac:dyDescent="0.3">
      <c r="A151" s="42" t="s">
        <v>90</v>
      </c>
      <c r="B151" s="144" t="s">
        <v>89</v>
      </c>
      <c r="C151" s="49" t="s">
        <v>33</v>
      </c>
      <c r="D151" s="49" t="s">
        <v>20</v>
      </c>
      <c r="E151" s="49" t="str">
        <f t="shared" si="15"/>
        <v>INDUSTRIALES / AGRICOLAS Plásticos (excepto SUP*) Otros Plásticos No envase</v>
      </c>
      <c r="F151" s="49" t="s">
        <v>263</v>
      </c>
      <c r="G151" s="48">
        <v>1</v>
      </c>
      <c r="H151" s="60">
        <f t="shared" si="16"/>
        <v>150.19999999999999</v>
      </c>
      <c r="I151" s="60"/>
      <c r="J151" s="60"/>
      <c r="K151" s="60"/>
      <c r="L151" s="60"/>
      <c r="M151" s="48">
        <f t="shared" si="13"/>
        <v>149.19999999999999</v>
      </c>
      <c r="N151" s="50">
        <f t="shared" si="14"/>
        <v>9.7091169388950193E-3</v>
      </c>
      <c r="O151" s="48">
        <f t="shared" si="12"/>
        <v>1</v>
      </c>
      <c r="P151" s="99"/>
      <c r="Q151" s="92" t="s">
        <v>105</v>
      </c>
    </row>
    <row r="152" spans="1:17" ht="12.75" customHeight="1" x14ac:dyDescent="0.3">
      <c r="A152" s="42" t="s">
        <v>90</v>
      </c>
      <c r="B152" s="144" t="s">
        <v>34</v>
      </c>
      <c r="C152" s="61" t="s">
        <v>35</v>
      </c>
      <c r="D152" s="61"/>
      <c r="E152" s="61" t="str">
        <f t="shared" si="15"/>
        <v xml:space="preserve">INDUSTRIALES / AGRICOLAS * Plásticos de un solo uso (SUP) [iii] Botellas para bebidas de hasta tres litros de capacidad, incluidos sus tapas y tapones </v>
      </c>
      <c r="F152" s="61" t="s">
        <v>264</v>
      </c>
      <c r="G152" s="48">
        <v>1</v>
      </c>
      <c r="H152" s="60">
        <f t="shared" si="16"/>
        <v>151.19999999999999</v>
      </c>
      <c r="I152" s="60"/>
      <c r="J152" s="60"/>
      <c r="K152" s="60"/>
      <c r="L152" s="60"/>
      <c r="M152" s="48">
        <f t="shared" si="13"/>
        <v>150.19999999999999</v>
      </c>
      <c r="N152" s="50">
        <f t="shared" si="14"/>
        <v>9.7741914492093292E-3</v>
      </c>
      <c r="O152" s="48">
        <f t="shared" si="12"/>
        <v>1</v>
      </c>
      <c r="P152" s="103"/>
      <c r="Q152" s="129" t="s">
        <v>104</v>
      </c>
    </row>
    <row r="153" spans="1:17" ht="12.75" customHeight="1" x14ac:dyDescent="0.3">
      <c r="A153" s="42" t="s">
        <v>90</v>
      </c>
      <c r="B153" s="144" t="s">
        <v>34</v>
      </c>
      <c r="C153" s="49" t="s">
        <v>36</v>
      </c>
      <c r="D153" s="49"/>
      <c r="E153" s="49" t="str">
        <f t="shared" si="15"/>
        <v xml:space="preserve">INDUSTRIALES / AGRICOLAS * Plásticos de un solo uso (SUP) [iii] Productos de tabaco con filtro y fitros comercializados para utilizarse en combinación con productos del tabaco </v>
      </c>
      <c r="F153" s="49" t="s">
        <v>265</v>
      </c>
      <c r="G153" s="48">
        <v>1</v>
      </c>
      <c r="H153" s="60">
        <f t="shared" si="16"/>
        <v>152.19999999999999</v>
      </c>
      <c r="I153" s="60"/>
      <c r="J153" s="60"/>
      <c r="K153" s="60"/>
      <c r="L153" s="60"/>
      <c r="M153" s="48">
        <f t="shared" si="13"/>
        <v>151.19999999999999</v>
      </c>
      <c r="N153" s="50">
        <f t="shared" si="14"/>
        <v>9.8392659595236392E-3</v>
      </c>
      <c r="O153" s="48">
        <f t="shared" si="12"/>
        <v>1</v>
      </c>
      <c r="P153" s="99"/>
      <c r="Q153" s="92" t="s">
        <v>105</v>
      </c>
    </row>
    <row r="154" spans="1:17" ht="14.4" x14ac:dyDescent="0.3">
      <c r="A154" s="42" t="s">
        <v>90</v>
      </c>
      <c r="B154" s="144" t="s">
        <v>34</v>
      </c>
      <c r="C154" s="62" t="s">
        <v>37</v>
      </c>
      <c r="D154" s="62"/>
      <c r="E154" s="62" t="str">
        <f t="shared" si="15"/>
        <v xml:space="preserve">INDUSTRIALES / AGRICOLAS * Plásticos de un solo uso (SUP) [iii] Recipientes para alimentos </v>
      </c>
      <c r="F154" s="62" t="s">
        <v>266</v>
      </c>
      <c r="G154" s="48">
        <v>1</v>
      </c>
      <c r="H154" s="60">
        <f t="shared" si="16"/>
        <v>153.19999999999999</v>
      </c>
      <c r="I154" s="60"/>
      <c r="J154" s="60"/>
      <c r="K154" s="60"/>
      <c r="L154" s="60"/>
      <c r="M154" s="48">
        <f t="shared" si="13"/>
        <v>152.19999999999999</v>
      </c>
      <c r="N154" s="50">
        <f t="shared" si="14"/>
        <v>9.9043404698379491E-3</v>
      </c>
      <c r="O154" s="48">
        <f t="shared" si="12"/>
        <v>1</v>
      </c>
      <c r="P154" s="104"/>
      <c r="Q154" s="129" t="s">
        <v>104</v>
      </c>
    </row>
    <row r="155" spans="1:17" ht="12.75" customHeight="1" x14ac:dyDescent="0.3">
      <c r="A155" s="42" t="s">
        <v>90</v>
      </c>
      <c r="B155" s="144" t="s">
        <v>34</v>
      </c>
      <c r="C155" s="63" t="s">
        <v>38</v>
      </c>
      <c r="D155" s="63"/>
      <c r="E155" s="63" t="str">
        <f t="shared" si="15"/>
        <v xml:space="preserve">INDUSTRIALES / AGRICOLAS * Plásticos de un solo uso (SUP) [iii] Vasos para bebidas (incluidas sus tapas y tapones) </v>
      </c>
      <c r="F155" s="63" t="s">
        <v>267</v>
      </c>
      <c r="G155" s="48">
        <v>1</v>
      </c>
      <c r="H155" s="60">
        <f t="shared" si="16"/>
        <v>154.19999999999999</v>
      </c>
      <c r="I155" s="60"/>
      <c r="J155" s="60"/>
      <c r="K155" s="60"/>
      <c r="L155" s="60"/>
      <c r="M155" s="48">
        <f t="shared" si="13"/>
        <v>153.19999999999999</v>
      </c>
      <c r="N155" s="50">
        <f t="shared" si="14"/>
        <v>9.9694149801522591E-3</v>
      </c>
      <c r="O155" s="48">
        <f t="shared" si="12"/>
        <v>1</v>
      </c>
      <c r="P155" s="105"/>
      <c r="Q155" s="129" t="s">
        <v>104</v>
      </c>
    </row>
    <row r="156" spans="1:17" ht="27.6" x14ac:dyDescent="0.3">
      <c r="A156" s="42" t="s">
        <v>90</v>
      </c>
      <c r="B156" s="144" t="s">
        <v>34</v>
      </c>
      <c r="C156" s="63" t="s">
        <v>41</v>
      </c>
      <c r="D156" s="63"/>
      <c r="E156" s="63" t="str">
        <f t="shared" si="15"/>
        <v xml:space="preserve">INDUSTRIALES / AGRICOLAS * Plásticos de un solo uso (SUP) [iii] Otros </v>
      </c>
      <c r="F156" s="63" t="s">
        <v>268</v>
      </c>
      <c r="G156" s="48">
        <v>1</v>
      </c>
      <c r="H156" s="60">
        <f t="shared" si="16"/>
        <v>155.19999999999999</v>
      </c>
      <c r="I156" s="60"/>
      <c r="J156" s="60"/>
      <c r="K156" s="60"/>
      <c r="L156" s="60"/>
      <c r="M156" s="48">
        <f t="shared" si="13"/>
        <v>154.19999999999999</v>
      </c>
      <c r="N156" s="50">
        <f t="shared" si="14"/>
        <v>1.0034489490466567E-2</v>
      </c>
      <c r="O156" s="48">
        <f t="shared" si="12"/>
        <v>1</v>
      </c>
      <c r="P156" s="105"/>
      <c r="Q156" s="129" t="s">
        <v>104</v>
      </c>
    </row>
    <row r="157" spans="1:17" ht="12.75" customHeight="1" x14ac:dyDescent="0.3">
      <c r="A157" s="42" t="s">
        <v>90</v>
      </c>
      <c r="B157" s="148" t="s">
        <v>39</v>
      </c>
      <c r="C157" s="67" t="s">
        <v>66</v>
      </c>
      <c r="D157" s="67"/>
      <c r="E157" s="67" t="str">
        <f t="shared" si="15"/>
        <v xml:space="preserve">INDUSTRIALES / AGRICOLAS Biorresiduos Restos de alimentos no cocinados y restos derivados de la preparación de alimentos </v>
      </c>
      <c r="F157" s="67" t="s">
        <v>269</v>
      </c>
      <c r="G157" s="66">
        <v>1</v>
      </c>
      <c r="H157" s="68">
        <f t="shared" si="16"/>
        <v>156.19999999999999</v>
      </c>
      <c r="I157" s="68"/>
      <c r="J157" s="68"/>
      <c r="K157" s="68"/>
      <c r="L157" s="68"/>
      <c r="M157" s="66">
        <f t="shared" si="13"/>
        <v>155.19999999999999</v>
      </c>
      <c r="N157" s="69">
        <f t="shared" si="14"/>
        <v>1.0099564000780877E-2</v>
      </c>
      <c r="O157" s="66">
        <f t="shared" si="12"/>
        <v>1</v>
      </c>
      <c r="P157" s="106"/>
      <c r="Q157" s="129" t="s">
        <v>104</v>
      </c>
    </row>
    <row r="158" spans="1:17" ht="41.4" x14ac:dyDescent="0.3">
      <c r="A158" s="42" t="s">
        <v>90</v>
      </c>
      <c r="B158" s="148" t="s">
        <v>39</v>
      </c>
      <c r="C158" s="67" t="s">
        <v>67</v>
      </c>
      <c r="D158" s="67"/>
      <c r="E158" s="67" t="str">
        <f t="shared" si="15"/>
        <v xml:space="preserve">INDUSTRIALES / AGRICOLAS Biorresiduos Restos de alimentos cocinados </v>
      </c>
      <c r="F158" s="67" t="s">
        <v>270</v>
      </c>
      <c r="G158" s="66">
        <v>1</v>
      </c>
      <c r="H158" s="68">
        <f t="shared" si="16"/>
        <v>157.19999999999999</v>
      </c>
      <c r="I158" s="68"/>
      <c r="J158" s="68"/>
      <c r="K158" s="68"/>
      <c r="L158" s="68"/>
      <c r="M158" s="66">
        <f t="shared" si="13"/>
        <v>156.19999999999999</v>
      </c>
      <c r="N158" s="69">
        <f t="shared" si="14"/>
        <v>1.0164638511095187E-2</v>
      </c>
      <c r="O158" s="66">
        <f t="shared" si="12"/>
        <v>1</v>
      </c>
      <c r="P158" s="106"/>
      <c r="Q158" s="129" t="s">
        <v>104</v>
      </c>
    </row>
    <row r="159" spans="1:17" ht="12.75" customHeight="1" x14ac:dyDescent="0.3">
      <c r="A159" s="42" t="s">
        <v>90</v>
      </c>
      <c r="B159" s="148" t="s">
        <v>39</v>
      </c>
      <c r="C159" s="67" t="s">
        <v>68</v>
      </c>
      <c r="D159" s="67"/>
      <c r="E159" s="67" t="str">
        <f t="shared" si="15"/>
        <v xml:space="preserve">INDUSTRIALES / AGRICOLAS Biorresiduos Celulosas: Papel de cocina, servilletas </v>
      </c>
      <c r="F159" s="67" t="s">
        <v>271</v>
      </c>
      <c r="G159" s="66">
        <v>1</v>
      </c>
      <c r="H159" s="68">
        <f t="shared" si="16"/>
        <v>158.19999999999999</v>
      </c>
      <c r="I159" s="68"/>
      <c r="J159" s="68"/>
      <c r="K159" s="68"/>
      <c r="L159" s="68"/>
      <c r="M159" s="66">
        <f t="shared" si="13"/>
        <v>157.19999999999999</v>
      </c>
      <c r="N159" s="69">
        <f t="shared" si="14"/>
        <v>1.0229713021409497E-2</v>
      </c>
      <c r="O159" s="66">
        <f t="shared" si="12"/>
        <v>1</v>
      </c>
      <c r="P159" s="106"/>
      <c r="Q159" s="129" t="s">
        <v>104</v>
      </c>
    </row>
    <row r="160" spans="1:17" ht="12.75" customHeight="1" x14ac:dyDescent="0.3">
      <c r="A160" s="42" t="s">
        <v>90</v>
      </c>
      <c r="B160" s="148" t="s">
        <v>39</v>
      </c>
      <c r="C160" s="67" t="s">
        <v>81</v>
      </c>
      <c r="D160" s="67"/>
      <c r="E160" s="67" t="str">
        <f t="shared" si="15"/>
        <v xml:space="preserve">INDUSTRIALES / AGRICOLAS Biorresiduos Otros restos de cocina compostables: bolsas, corchos, palillos de madera y otros resto compostables (vasos de papel, etc.) </v>
      </c>
      <c r="F160" s="67" t="s">
        <v>272</v>
      </c>
      <c r="G160" s="66">
        <v>1</v>
      </c>
      <c r="H160" s="66">
        <f t="shared" si="16"/>
        <v>159.19999999999999</v>
      </c>
      <c r="I160" s="66"/>
      <c r="J160" s="66"/>
      <c r="K160" s="66"/>
      <c r="L160" s="66"/>
      <c r="M160" s="66">
        <f t="shared" si="13"/>
        <v>158.19999999999999</v>
      </c>
      <c r="N160" s="69">
        <f t="shared" si="14"/>
        <v>1.0294787531723807E-2</v>
      </c>
      <c r="O160" s="66">
        <f t="shared" si="12"/>
        <v>1</v>
      </c>
      <c r="P160" s="106"/>
      <c r="Q160" s="129" t="s">
        <v>104</v>
      </c>
    </row>
    <row r="161" spans="1:17" ht="12.75" customHeight="1" x14ac:dyDescent="0.3">
      <c r="A161" s="42" t="s">
        <v>90</v>
      </c>
      <c r="B161" s="148" t="s">
        <v>39</v>
      </c>
      <c r="C161" s="67" t="s">
        <v>69</v>
      </c>
      <c r="D161" s="67"/>
      <c r="E161" s="67" t="str">
        <f t="shared" si="15"/>
        <v xml:space="preserve">INDUSTRIALES / AGRICOLAS Biorresiduos Derroche alimentario: alimentos caducados y en mal estado (a granel o en envases abiertos, el envase se separará en su fracción) </v>
      </c>
      <c r="F161" s="67" t="s">
        <v>273</v>
      </c>
      <c r="G161" s="66">
        <v>1</v>
      </c>
      <c r="H161" s="66">
        <f t="shared" si="16"/>
        <v>160.19999999999999</v>
      </c>
      <c r="I161" s="66"/>
      <c r="J161" s="66"/>
      <c r="K161" s="66"/>
      <c r="L161" s="66"/>
      <c r="M161" s="66">
        <f t="shared" si="13"/>
        <v>159.19999999999999</v>
      </c>
      <c r="N161" s="69">
        <f t="shared" si="14"/>
        <v>1.0359862042038117E-2</v>
      </c>
      <c r="O161" s="66">
        <f t="shared" si="12"/>
        <v>1</v>
      </c>
      <c r="P161" s="106"/>
      <c r="Q161" s="129" t="s">
        <v>104</v>
      </c>
    </row>
    <row r="162" spans="1:17" ht="12.75" customHeight="1" x14ac:dyDescent="0.3">
      <c r="A162" s="42" t="s">
        <v>90</v>
      </c>
      <c r="B162" s="148" t="s">
        <v>39</v>
      </c>
      <c r="C162" s="67" t="s">
        <v>71</v>
      </c>
      <c r="D162" s="67"/>
      <c r="E162" s="67" t="str">
        <f t="shared" si="15"/>
        <v xml:space="preserve">INDUSTRIALES / AGRICOLAS Biorresiduos Restos vegetales (césped, hojas, flores, etc.) </v>
      </c>
      <c r="F162" s="67" t="s">
        <v>274</v>
      </c>
      <c r="G162" s="66">
        <v>1</v>
      </c>
      <c r="H162" s="66">
        <f t="shared" si="16"/>
        <v>161.19999999999999</v>
      </c>
      <c r="I162" s="66"/>
      <c r="J162" s="66"/>
      <c r="K162" s="66"/>
      <c r="L162" s="66"/>
      <c r="M162" s="66">
        <f t="shared" si="13"/>
        <v>160.19999999999999</v>
      </c>
      <c r="N162" s="69">
        <f t="shared" si="14"/>
        <v>1.0424936552352427E-2</v>
      </c>
      <c r="O162" s="66">
        <f t="shared" si="12"/>
        <v>1</v>
      </c>
      <c r="P162" s="106"/>
      <c r="Q162" s="129" t="s">
        <v>104</v>
      </c>
    </row>
    <row r="163" spans="1:17" ht="12.75" customHeight="1" x14ac:dyDescent="0.3">
      <c r="A163" s="42" t="s">
        <v>90</v>
      </c>
      <c r="B163" s="148" t="s">
        <v>39</v>
      </c>
      <c r="C163" s="67" t="s">
        <v>72</v>
      </c>
      <c r="D163" s="67"/>
      <c r="E163" s="67" t="str">
        <f t="shared" si="15"/>
        <v xml:space="preserve">INDUSTRIALES / AGRICOLAS Biorresiduos Restos de poda (ramas, arbustos, etc.) </v>
      </c>
      <c r="F163" s="67" t="s">
        <v>275</v>
      </c>
      <c r="G163" s="66">
        <v>1</v>
      </c>
      <c r="H163" s="66">
        <f t="shared" si="16"/>
        <v>162.19999999999999</v>
      </c>
      <c r="I163" s="66"/>
      <c r="J163" s="66"/>
      <c r="K163" s="66"/>
      <c r="L163" s="66"/>
      <c r="M163" s="66">
        <f t="shared" si="13"/>
        <v>161.19999999999999</v>
      </c>
      <c r="N163" s="69">
        <f t="shared" si="14"/>
        <v>1.0490011062666737E-2</v>
      </c>
      <c r="O163" s="66">
        <f t="shared" si="12"/>
        <v>1</v>
      </c>
      <c r="P163" s="106"/>
      <c r="Q163" s="129" t="s">
        <v>104</v>
      </c>
    </row>
    <row r="164" spans="1:17" ht="12.75" customHeight="1" x14ac:dyDescent="0.3">
      <c r="A164" s="42" t="s">
        <v>90</v>
      </c>
      <c r="B164" s="65" t="s">
        <v>84</v>
      </c>
      <c r="C164" s="64" t="s">
        <v>70</v>
      </c>
      <c r="D164" s="64"/>
      <c r="E164" s="64" t="str">
        <f t="shared" si="15"/>
        <v xml:space="preserve">INDUSTRIALES / AGRICOLAS ACEITE Aceite de cocina usados (contenidos en envases) </v>
      </c>
      <c r="F164" s="64" t="s">
        <v>276</v>
      </c>
      <c r="G164" s="53">
        <v>1</v>
      </c>
      <c r="H164" s="53">
        <f t="shared" si="16"/>
        <v>163.19999999999999</v>
      </c>
      <c r="I164" s="53"/>
      <c r="J164" s="53"/>
      <c r="K164" s="53"/>
      <c r="L164" s="53"/>
      <c r="M164" s="53">
        <f t="shared" si="13"/>
        <v>162.19999999999999</v>
      </c>
      <c r="N164" s="54">
        <f t="shared" si="14"/>
        <v>1.0555085572981047E-2</v>
      </c>
      <c r="O164" s="53">
        <f t="shared" si="12"/>
        <v>1</v>
      </c>
      <c r="P164" s="107"/>
      <c r="Q164" s="129" t="s">
        <v>104</v>
      </c>
    </row>
    <row r="165" spans="1:17" x14ac:dyDescent="0.3">
      <c r="A165" s="42" t="s">
        <v>90</v>
      </c>
      <c r="B165" s="70" t="s">
        <v>91</v>
      </c>
      <c r="C165" s="71" t="s">
        <v>58</v>
      </c>
      <c r="D165" s="71"/>
      <c r="E165" s="71" t="str">
        <f t="shared" si="15"/>
        <v xml:space="preserve">INDUSTRIALES / AGRICOLAS RAEE [iv] RAEE  </v>
      </c>
      <c r="F165" s="71" t="s">
        <v>277</v>
      </c>
      <c r="G165" s="72">
        <v>1</v>
      </c>
      <c r="H165" s="72">
        <f t="shared" si="16"/>
        <v>164.2</v>
      </c>
      <c r="I165" s="72"/>
      <c r="J165" s="72"/>
      <c r="K165" s="72"/>
      <c r="L165" s="72"/>
      <c r="M165" s="72">
        <f t="shared" si="13"/>
        <v>163.19999999999999</v>
      </c>
      <c r="N165" s="73">
        <f t="shared" si="14"/>
        <v>1.0620160083295357E-2</v>
      </c>
      <c r="O165" s="72">
        <f t="shared" si="12"/>
        <v>1</v>
      </c>
      <c r="P165" s="108"/>
      <c r="Q165" s="129" t="s">
        <v>104</v>
      </c>
    </row>
    <row r="166" spans="1:17" ht="41.4" x14ac:dyDescent="0.3">
      <c r="A166" s="42" t="s">
        <v>90</v>
      </c>
      <c r="B166" s="70" t="s">
        <v>73</v>
      </c>
      <c r="C166" s="71" t="s">
        <v>42</v>
      </c>
      <c r="D166" s="71"/>
      <c r="E166" s="71" t="str">
        <f t="shared" si="15"/>
        <v xml:space="preserve">INDUSTRIALES / AGRICOLAS Baterias Pilas y Acumuladores </v>
      </c>
      <c r="F166" s="71" t="s">
        <v>278</v>
      </c>
      <c r="G166" s="72">
        <v>1</v>
      </c>
      <c r="H166" s="72">
        <f t="shared" si="16"/>
        <v>165.2</v>
      </c>
      <c r="I166" s="72"/>
      <c r="J166" s="72"/>
      <c r="K166" s="72"/>
      <c r="L166" s="72"/>
      <c r="M166" s="72">
        <f t="shared" si="13"/>
        <v>164.2</v>
      </c>
      <c r="N166" s="73">
        <f t="shared" si="14"/>
        <v>1.0685234593609667E-2</v>
      </c>
      <c r="O166" s="72">
        <f t="shared" si="12"/>
        <v>1</v>
      </c>
      <c r="P166" s="108"/>
      <c r="Q166" s="129" t="s">
        <v>104</v>
      </c>
    </row>
    <row r="167" spans="1:17" ht="27.6" x14ac:dyDescent="0.3">
      <c r="A167" s="42" t="s">
        <v>90</v>
      </c>
      <c r="B167" s="70" t="s">
        <v>73</v>
      </c>
      <c r="C167" s="71" t="s">
        <v>43</v>
      </c>
      <c r="D167" s="71"/>
      <c r="E167" s="71" t="str">
        <f t="shared" si="15"/>
        <v xml:space="preserve">INDUSTRIALES / AGRICOLAS Baterias Baterías de Vehículos </v>
      </c>
      <c r="F167" s="71" t="s">
        <v>279</v>
      </c>
      <c r="G167" s="72">
        <v>1</v>
      </c>
      <c r="H167" s="72">
        <f t="shared" si="16"/>
        <v>166.2</v>
      </c>
      <c r="I167" s="72"/>
      <c r="J167" s="72"/>
      <c r="K167" s="72"/>
      <c r="L167" s="72"/>
      <c r="M167" s="72">
        <f t="shared" si="13"/>
        <v>165.2</v>
      </c>
      <c r="N167" s="73">
        <f t="shared" si="14"/>
        <v>1.0750309103923975E-2</v>
      </c>
      <c r="O167" s="72">
        <f t="shared" si="12"/>
        <v>1</v>
      </c>
      <c r="P167" s="108"/>
      <c r="Q167" s="129" t="s">
        <v>104</v>
      </c>
    </row>
    <row r="168" spans="1:17" ht="27.6" x14ac:dyDescent="0.3">
      <c r="A168" s="42" t="s">
        <v>90</v>
      </c>
      <c r="B168" s="84" t="s">
        <v>74</v>
      </c>
      <c r="C168" s="85" t="s">
        <v>44</v>
      </c>
      <c r="D168" s="85"/>
      <c r="E168" s="85" t="str">
        <f t="shared" si="15"/>
        <v xml:space="preserve">INDUSTRIALES / AGRICOLAS Textiles Textiles y piel </v>
      </c>
      <c r="F168" s="85" t="s">
        <v>280</v>
      </c>
      <c r="G168" s="86">
        <v>1</v>
      </c>
      <c r="H168" s="86">
        <f t="shared" si="16"/>
        <v>167.2</v>
      </c>
      <c r="I168" s="86"/>
      <c r="J168" s="86"/>
      <c r="K168" s="86"/>
      <c r="L168" s="86"/>
      <c r="M168" s="86">
        <f t="shared" si="13"/>
        <v>166.2</v>
      </c>
      <c r="N168" s="87">
        <f t="shared" si="14"/>
        <v>1.0815383614238285E-2</v>
      </c>
      <c r="O168" s="86">
        <f t="shared" si="12"/>
        <v>1</v>
      </c>
      <c r="P168" s="109"/>
      <c r="Q168" s="129" t="s">
        <v>104</v>
      </c>
    </row>
    <row r="169" spans="1:17" ht="12.75" customHeight="1" x14ac:dyDescent="0.3">
      <c r="A169" s="42" t="s">
        <v>90</v>
      </c>
      <c r="B169" s="75" t="s">
        <v>75</v>
      </c>
      <c r="C169" s="76" t="s">
        <v>45</v>
      </c>
      <c r="D169" s="76"/>
      <c r="E169" s="76" t="str">
        <f t="shared" si="15"/>
        <v xml:space="preserve">INDUSTRIALES / AGRICOLAS Textiles sanitarios Textiles y celulósicos sanitarios </v>
      </c>
      <c r="F169" s="76" t="s">
        <v>281</v>
      </c>
      <c r="G169" s="77">
        <v>1</v>
      </c>
      <c r="H169" s="77">
        <f t="shared" si="16"/>
        <v>168.2</v>
      </c>
      <c r="I169" s="77"/>
      <c r="J169" s="77"/>
      <c r="K169" s="77"/>
      <c r="L169" s="77"/>
      <c r="M169" s="77">
        <f t="shared" si="13"/>
        <v>167.2</v>
      </c>
      <c r="N169" s="78">
        <f t="shared" si="14"/>
        <v>1.0880458124552595E-2</v>
      </c>
      <c r="O169" s="77">
        <f t="shared" si="12"/>
        <v>1</v>
      </c>
      <c r="P169" s="110"/>
      <c r="Q169" s="92" t="s">
        <v>105</v>
      </c>
    </row>
    <row r="170" spans="1:17" ht="27.6" x14ac:dyDescent="0.3">
      <c r="A170" s="42" t="s">
        <v>90</v>
      </c>
      <c r="B170" s="149" t="s">
        <v>76</v>
      </c>
      <c r="C170" s="80" t="s">
        <v>48</v>
      </c>
      <c r="D170" s="80"/>
      <c r="E170" s="80" t="str">
        <f t="shared" si="15"/>
        <v xml:space="preserve">INDUSTRIALES / AGRICOLAS Tierras y RCDs Tierras y Escombros </v>
      </c>
      <c r="F170" s="80" t="s">
        <v>282</v>
      </c>
      <c r="G170" s="81">
        <v>1</v>
      </c>
      <c r="H170" s="81">
        <f t="shared" si="16"/>
        <v>169.2</v>
      </c>
      <c r="I170" s="81"/>
      <c r="J170" s="81"/>
      <c r="K170" s="81"/>
      <c r="L170" s="81"/>
      <c r="M170" s="81">
        <f t="shared" si="13"/>
        <v>168.2</v>
      </c>
      <c r="N170" s="82">
        <f t="shared" si="14"/>
        <v>1.0945532634866905E-2</v>
      </c>
      <c r="O170" s="81">
        <f t="shared" si="12"/>
        <v>1</v>
      </c>
      <c r="P170" s="111"/>
      <c r="Q170" s="129" t="s">
        <v>104</v>
      </c>
    </row>
    <row r="171" spans="1:17" ht="41.4" x14ac:dyDescent="0.3">
      <c r="A171" s="42" t="s">
        <v>90</v>
      </c>
      <c r="B171" s="149" t="s">
        <v>76</v>
      </c>
      <c r="C171" s="80" t="s">
        <v>77</v>
      </c>
      <c r="D171" s="80"/>
      <c r="E171" s="80" t="str">
        <f t="shared" si="15"/>
        <v xml:space="preserve">INDUSTRIALES / AGRICOLAS Tierras y RCDs Restos de obras menores </v>
      </c>
      <c r="F171" s="80" t="s">
        <v>283</v>
      </c>
      <c r="G171" s="81">
        <v>1</v>
      </c>
      <c r="H171" s="81">
        <f t="shared" si="16"/>
        <v>170.2</v>
      </c>
      <c r="I171" s="81"/>
      <c r="J171" s="81"/>
      <c r="K171" s="81"/>
      <c r="L171" s="81"/>
      <c r="M171" s="81">
        <f t="shared" si="13"/>
        <v>169.2</v>
      </c>
      <c r="N171" s="82">
        <f t="shared" si="14"/>
        <v>1.1010607145181215E-2</v>
      </c>
      <c r="O171" s="81">
        <f t="shared" si="12"/>
        <v>1</v>
      </c>
      <c r="P171" s="111"/>
      <c r="Q171" s="129" t="s">
        <v>104</v>
      </c>
    </row>
    <row r="172" spans="1:17" ht="12.75" customHeight="1" x14ac:dyDescent="0.3">
      <c r="A172" s="42" t="s">
        <v>90</v>
      </c>
      <c r="B172" s="149" t="s">
        <v>41</v>
      </c>
      <c r="C172" s="83" t="s">
        <v>78</v>
      </c>
      <c r="D172" s="83"/>
      <c r="E172" s="83" t="str">
        <f t="shared" si="15"/>
        <v xml:space="preserve">INDUSTRIALES / AGRICOLAS Otros Inclasificables mayores de 50 mm </v>
      </c>
      <c r="F172" s="83" t="s">
        <v>284</v>
      </c>
      <c r="G172" s="81">
        <v>1</v>
      </c>
      <c r="H172" s="81">
        <f t="shared" si="16"/>
        <v>171.2</v>
      </c>
      <c r="I172" s="81"/>
      <c r="J172" s="81"/>
      <c r="K172" s="81"/>
      <c r="L172" s="81"/>
      <c r="M172" s="81">
        <f t="shared" si="13"/>
        <v>170.2</v>
      </c>
      <c r="N172" s="82">
        <f t="shared" si="14"/>
        <v>1.1075681655495525E-2</v>
      </c>
      <c r="O172" s="81">
        <f t="shared" si="12"/>
        <v>1</v>
      </c>
      <c r="P172" s="112"/>
      <c r="Q172" s="92" t="s">
        <v>105</v>
      </c>
    </row>
    <row r="173" spans="1:17" ht="12.75" customHeight="1" x14ac:dyDescent="0.3">
      <c r="A173" s="42" t="s">
        <v>90</v>
      </c>
      <c r="B173" s="149" t="s">
        <v>41</v>
      </c>
      <c r="C173" s="83" t="s">
        <v>79</v>
      </c>
      <c r="D173" s="83"/>
      <c r="E173" s="83" t="str">
        <f t="shared" si="15"/>
        <v xml:space="preserve">INDUSTRIALES / AGRICOLAS Otros Finos &lt; 50 mm (si &gt; 2kg*, se hará una analitica en laboratorio) </v>
      </c>
      <c r="F173" s="83" t="s">
        <v>285</v>
      </c>
      <c r="G173" s="81">
        <v>1</v>
      </c>
      <c r="H173" s="81">
        <f t="shared" si="16"/>
        <v>172.2</v>
      </c>
      <c r="I173" s="81"/>
      <c r="J173" s="81"/>
      <c r="K173" s="81"/>
      <c r="L173" s="81"/>
      <c r="M173" s="81">
        <f t="shared" si="13"/>
        <v>171.2</v>
      </c>
      <c r="N173" s="82">
        <f t="shared" si="14"/>
        <v>1.1140756165809835E-2</v>
      </c>
      <c r="O173" s="81">
        <f t="shared" si="12"/>
        <v>1</v>
      </c>
      <c r="P173" s="112"/>
      <c r="Q173" s="92" t="s">
        <v>105</v>
      </c>
    </row>
    <row r="174" spans="1:17" ht="12.75" customHeight="1" x14ac:dyDescent="0.3">
      <c r="A174" s="42" t="s">
        <v>90</v>
      </c>
      <c r="B174" s="149" t="s">
        <v>41</v>
      </c>
      <c r="C174" s="83" t="s">
        <v>46</v>
      </c>
      <c r="D174" s="83"/>
      <c r="E174" s="83" t="str">
        <f t="shared" si="15"/>
        <v xml:space="preserve">INDUSTRIALES / AGRICOLAS Otros Cantidad de Producto en Envases (Sólido) </v>
      </c>
      <c r="F174" s="83" t="s">
        <v>286</v>
      </c>
      <c r="G174" s="81">
        <v>1</v>
      </c>
      <c r="H174" s="81">
        <f t="shared" si="16"/>
        <v>173.2</v>
      </c>
      <c r="I174" s="81"/>
      <c r="J174" s="81"/>
      <c r="K174" s="81"/>
      <c r="L174" s="81"/>
      <c r="M174" s="81">
        <f t="shared" si="13"/>
        <v>172.2</v>
      </c>
      <c r="N174" s="82">
        <f t="shared" si="14"/>
        <v>1.1205830676124144E-2</v>
      </c>
      <c r="O174" s="81">
        <f t="shared" si="12"/>
        <v>1</v>
      </c>
      <c r="P174" s="112"/>
      <c r="Q174" s="92" t="s">
        <v>105</v>
      </c>
    </row>
    <row r="175" spans="1:17" ht="12.75" customHeight="1" x14ac:dyDescent="0.3">
      <c r="A175" s="42" t="s">
        <v>90</v>
      </c>
      <c r="B175" s="149" t="s">
        <v>41</v>
      </c>
      <c r="C175" s="83" t="s">
        <v>47</v>
      </c>
      <c r="D175" s="83"/>
      <c r="E175" s="83" t="str">
        <f t="shared" si="15"/>
        <v xml:space="preserve">INDUSTRIALES / AGRICOLAS Otros Cantidad de Producto en Envases (líquido-no aceite) </v>
      </c>
      <c r="F175" s="83" t="s">
        <v>287</v>
      </c>
      <c r="G175" s="81">
        <v>1</v>
      </c>
      <c r="H175" s="81">
        <f t="shared" si="16"/>
        <v>174.2</v>
      </c>
      <c r="I175" s="81"/>
      <c r="J175" s="81"/>
      <c r="K175" s="81"/>
      <c r="L175" s="81"/>
      <c r="M175" s="81">
        <f t="shared" si="13"/>
        <v>173.2</v>
      </c>
      <c r="N175" s="82">
        <f t="shared" si="14"/>
        <v>1.1270905186438454E-2</v>
      </c>
      <c r="O175" s="81">
        <f t="shared" si="12"/>
        <v>1</v>
      </c>
      <c r="P175" s="112"/>
      <c r="Q175" s="92" t="s">
        <v>105</v>
      </c>
    </row>
    <row r="176" spans="1:17" x14ac:dyDescent="0.3">
      <c r="A176" s="42" t="s">
        <v>90</v>
      </c>
      <c r="B176" s="149" t="s">
        <v>41</v>
      </c>
      <c r="C176" s="80" t="s">
        <v>49</v>
      </c>
      <c r="D176" s="80"/>
      <c r="E176" s="80" t="str">
        <f t="shared" si="15"/>
        <v xml:space="preserve">INDUSTRIALES / AGRICOLAS Otros Caucho </v>
      </c>
      <c r="F176" s="80" t="s">
        <v>288</v>
      </c>
      <c r="G176" s="81">
        <v>1</v>
      </c>
      <c r="H176" s="81">
        <f t="shared" si="16"/>
        <v>175.2</v>
      </c>
      <c r="I176" s="81"/>
      <c r="J176" s="81"/>
      <c r="K176" s="81"/>
      <c r="L176" s="81"/>
      <c r="M176" s="81">
        <f t="shared" si="13"/>
        <v>174.2</v>
      </c>
      <c r="N176" s="82">
        <f t="shared" si="14"/>
        <v>1.1335979696752764E-2</v>
      </c>
      <c r="O176" s="81">
        <f t="shared" si="12"/>
        <v>1</v>
      </c>
      <c r="P176" s="111"/>
      <c r="Q176" s="92" t="s">
        <v>105</v>
      </c>
    </row>
    <row r="177" spans="1:17" ht="12.75" customHeight="1" x14ac:dyDescent="0.3">
      <c r="A177" s="42" t="s">
        <v>90</v>
      </c>
      <c r="B177" s="149" t="s">
        <v>41</v>
      </c>
      <c r="C177" s="83" t="s">
        <v>80</v>
      </c>
      <c r="D177" s="83"/>
      <c r="E177" s="83" t="str">
        <f t="shared" si="15"/>
        <v xml:space="preserve">INDUSTRIALES / AGRICOLAS Otros Otros otros  (cuerdas multimaterial…) </v>
      </c>
      <c r="F177" s="83" t="s">
        <v>289</v>
      </c>
      <c r="G177" s="81">
        <v>1</v>
      </c>
      <c r="H177" s="81">
        <f t="shared" si="16"/>
        <v>176.2</v>
      </c>
      <c r="I177" s="81"/>
      <c r="J177" s="81"/>
      <c r="K177" s="81"/>
      <c r="L177" s="81"/>
      <c r="M177" s="81">
        <f t="shared" si="13"/>
        <v>175.2</v>
      </c>
      <c r="N177" s="82">
        <f t="shared" si="14"/>
        <v>1.1401054207067074E-2</v>
      </c>
      <c r="O177" s="81">
        <f t="shared" si="12"/>
        <v>1</v>
      </c>
      <c r="P177" s="112"/>
      <c r="Q177" s="92" t="s">
        <v>105</v>
      </c>
    </row>
    <row r="185" spans="1:17" ht="14.4" x14ac:dyDescent="0.3">
      <c r="A185" s="34" t="s">
        <v>99</v>
      </c>
      <c r="B185" s="35" t="s">
        <v>126</v>
      </c>
      <c r="C185" s="124" t="s">
        <v>127</v>
      </c>
    </row>
    <row r="186" spans="1:17" ht="14.4" x14ac:dyDescent="0.3">
      <c r="A186" s="35" t="s">
        <v>82</v>
      </c>
      <c r="B186" s="150">
        <v>5113.7999999999956</v>
      </c>
      <c r="C186" s="124">
        <v>0.33277803084531737</v>
      </c>
    </row>
    <row r="187" spans="1:17" ht="14.4" x14ac:dyDescent="0.3">
      <c r="A187" s="35" t="s">
        <v>11</v>
      </c>
      <c r="B187" s="150">
        <v>2223.4000000000005</v>
      </c>
      <c r="C187" s="124">
        <v>0.14468666623283633</v>
      </c>
    </row>
    <row r="188" spans="1:17" ht="14.4" x14ac:dyDescent="0.3">
      <c r="A188" s="35" t="s">
        <v>90</v>
      </c>
      <c r="B188" s="150">
        <v>8029.7999999999938</v>
      </c>
      <c r="C188" s="124">
        <v>0.52253530292184469</v>
      </c>
    </row>
    <row r="189" spans="1:17" ht="14.4" x14ac:dyDescent="0.3">
      <c r="A189" s="35" t="s">
        <v>100</v>
      </c>
      <c r="B189" s="150">
        <v>15366.999999999989</v>
      </c>
      <c r="C189" s="124">
        <v>0.99999999999999845</v>
      </c>
    </row>
    <row r="190" spans="1:17" ht="14.4" x14ac:dyDescent="0.3">
      <c r="A190"/>
      <c r="B190" s="35"/>
      <c r="C190"/>
    </row>
    <row r="191" spans="1:17" ht="14.4" x14ac:dyDescent="0.3">
      <c r="A191"/>
      <c r="B191" s="35"/>
      <c r="C191"/>
    </row>
    <row r="192" spans="1:17" ht="14.4" x14ac:dyDescent="0.3">
      <c r="A192"/>
      <c r="B192" s="35"/>
      <c r="C192"/>
    </row>
    <row r="193" spans="1:3" ht="14.4" x14ac:dyDescent="0.3">
      <c r="A193"/>
      <c r="B193" s="35"/>
      <c r="C193"/>
    </row>
    <row r="194" spans="1:3" ht="14.4" x14ac:dyDescent="0.3">
      <c r="A194"/>
      <c r="B194" s="35"/>
      <c r="C194"/>
    </row>
    <row r="195" spans="1:3" ht="14.4" x14ac:dyDescent="0.3">
      <c r="A195"/>
      <c r="B195" s="35"/>
      <c r="C195"/>
    </row>
    <row r="196" spans="1:3" ht="14.4" x14ac:dyDescent="0.3">
      <c r="A196"/>
      <c r="B196" s="35"/>
      <c r="C196"/>
    </row>
    <row r="197" spans="1:3" ht="14.4" x14ac:dyDescent="0.3">
      <c r="A197"/>
      <c r="B197" s="35"/>
      <c r="C197"/>
    </row>
    <row r="198" spans="1:3" ht="14.4" x14ac:dyDescent="0.3">
      <c r="A198"/>
      <c r="B198" s="35"/>
      <c r="C198"/>
    </row>
    <row r="199" spans="1:3" ht="14.4" x14ac:dyDescent="0.3">
      <c r="A199"/>
      <c r="B199" s="35"/>
      <c r="C199"/>
    </row>
    <row r="200" spans="1:3" ht="14.4" x14ac:dyDescent="0.3">
      <c r="A200"/>
      <c r="B200" s="35"/>
      <c r="C200"/>
    </row>
    <row r="201" spans="1:3" ht="14.4" x14ac:dyDescent="0.3">
      <c r="A201" s="34" t="s">
        <v>99</v>
      </c>
      <c r="B201" s="35" t="s">
        <v>126</v>
      </c>
      <c r="C201" s="124" t="s">
        <v>127</v>
      </c>
    </row>
    <row r="202" spans="1:3" ht="14.4" x14ac:dyDescent="0.3">
      <c r="A202" s="35" t="s">
        <v>104</v>
      </c>
      <c r="B202" s="150">
        <v>9787.5999999999985</v>
      </c>
      <c r="C202" s="124">
        <v>0.63692327715233854</v>
      </c>
    </row>
    <row r="203" spans="1:3" ht="14.4" x14ac:dyDescent="0.3">
      <c r="A203" s="35" t="s">
        <v>105</v>
      </c>
      <c r="B203" s="150">
        <v>5579.399999999996</v>
      </c>
      <c r="C203" s="124">
        <v>0.36307672284766013</v>
      </c>
    </row>
    <row r="204" spans="1:3" ht="14.4" x14ac:dyDescent="0.3">
      <c r="A204" s="35" t="s">
        <v>100</v>
      </c>
      <c r="B204" s="150">
        <v>15366.999999999995</v>
      </c>
      <c r="C204" s="124">
        <v>0.99999999999999867</v>
      </c>
    </row>
    <row r="205" spans="1:3" ht="14.4" x14ac:dyDescent="0.3">
      <c r="A205"/>
      <c r="B205" s="35"/>
      <c r="C205"/>
    </row>
    <row r="206" spans="1:3" ht="14.4" x14ac:dyDescent="0.3">
      <c r="A206"/>
      <c r="B206" s="35"/>
      <c r="C206"/>
    </row>
    <row r="207" spans="1:3" ht="14.4" x14ac:dyDescent="0.3">
      <c r="A207"/>
      <c r="B207" s="35"/>
      <c r="C207"/>
    </row>
    <row r="208" spans="1:3" ht="14.4" x14ac:dyDescent="0.3">
      <c r="A208"/>
      <c r="B208" s="35"/>
      <c r="C208"/>
    </row>
    <row r="209" spans="1:3" ht="14.4" x14ac:dyDescent="0.3">
      <c r="A209"/>
      <c r="B209" s="35"/>
      <c r="C209"/>
    </row>
    <row r="210" spans="1:3" ht="14.4" x14ac:dyDescent="0.3">
      <c r="A210"/>
      <c r="B210" s="35"/>
      <c r="C210"/>
    </row>
    <row r="211" spans="1:3" ht="14.4" x14ac:dyDescent="0.3">
      <c r="A211"/>
      <c r="B211" s="35"/>
      <c r="C211"/>
    </row>
    <row r="212" spans="1:3" ht="14.4" x14ac:dyDescent="0.3">
      <c r="A212"/>
      <c r="B212" s="35"/>
      <c r="C212"/>
    </row>
    <row r="213" spans="1:3" ht="14.4" x14ac:dyDescent="0.3">
      <c r="A213"/>
      <c r="B213" s="35"/>
      <c r="C213"/>
    </row>
    <row r="214" spans="1:3" ht="14.4" x14ac:dyDescent="0.3">
      <c r="A214"/>
      <c r="B214" s="35"/>
      <c r="C214"/>
    </row>
    <row r="215" spans="1:3" ht="14.4" x14ac:dyDescent="0.3">
      <c r="A215"/>
      <c r="B215" s="35"/>
      <c r="C215"/>
    </row>
    <row r="216" spans="1:3" ht="14.4" x14ac:dyDescent="0.3">
      <c r="A216"/>
      <c r="B216" s="35"/>
      <c r="C216"/>
    </row>
    <row r="217" spans="1:3" ht="14.4" x14ac:dyDescent="0.3">
      <c r="A217"/>
      <c r="B217" s="35"/>
      <c r="C217"/>
    </row>
    <row r="218" spans="1:3" ht="14.4" x14ac:dyDescent="0.3">
      <c r="A218" s="34" t="s">
        <v>99</v>
      </c>
      <c r="B218" s="35" t="s">
        <v>126</v>
      </c>
      <c r="C218" s="124" t="s">
        <v>127</v>
      </c>
    </row>
    <row r="219" spans="1:3" ht="14.4" x14ac:dyDescent="0.3">
      <c r="A219" s="35" t="s">
        <v>34</v>
      </c>
      <c r="B219" s="150">
        <v>1473.0000000000002</v>
      </c>
      <c r="C219" s="124">
        <v>9.5854753692978301E-2</v>
      </c>
    </row>
    <row r="220" spans="1:3" ht="14.4" x14ac:dyDescent="0.3">
      <c r="A220" s="35" t="s">
        <v>84</v>
      </c>
      <c r="B220" s="150">
        <v>324.60000000000002</v>
      </c>
      <c r="C220" s="124">
        <v>2.1123186048024954E-2</v>
      </c>
    </row>
    <row r="221" spans="1:3" ht="14.4" x14ac:dyDescent="0.3">
      <c r="A221" s="35" t="s">
        <v>73</v>
      </c>
      <c r="B221" s="150">
        <v>664.2</v>
      </c>
      <c r="C221" s="124">
        <v>4.3222489750764558E-2</v>
      </c>
    </row>
    <row r="222" spans="1:3" ht="14.4" x14ac:dyDescent="0.3">
      <c r="A222" s="35" t="s">
        <v>39</v>
      </c>
      <c r="B222" s="150">
        <v>2188.2000000000003</v>
      </c>
      <c r="C222" s="124">
        <v>0.14239604346977267</v>
      </c>
    </row>
    <row r="223" spans="1:3" ht="14.4" x14ac:dyDescent="0.3">
      <c r="A223" s="35" t="s">
        <v>18</v>
      </c>
      <c r="B223" s="150">
        <v>213.60000000000002</v>
      </c>
      <c r="C223" s="124">
        <v>1.3899915403136572E-2</v>
      </c>
    </row>
    <row r="224" spans="1:3" ht="14.4" x14ac:dyDescent="0.3">
      <c r="A224" s="35" t="s">
        <v>25</v>
      </c>
      <c r="B224" s="150">
        <v>472.2</v>
      </c>
      <c r="C224" s="124">
        <v>3.0728183770417077E-2</v>
      </c>
    </row>
    <row r="225" spans="1:3" ht="14.4" x14ac:dyDescent="0.3">
      <c r="A225" s="35" t="s">
        <v>21</v>
      </c>
      <c r="B225" s="150">
        <v>448.2</v>
      </c>
      <c r="C225" s="124">
        <v>2.9166395522873645E-2</v>
      </c>
    </row>
    <row r="226" spans="1:3" ht="14.4" x14ac:dyDescent="0.3">
      <c r="A226" s="35" t="s">
        <v>23</v>
      </c>
      <c r="B226" s="150">
        <v>460.2</v>
      </c>
      <c r="C226" s="124">
        <v>2.9947289646645364E-2</v>
      </c>
    </row>
    <row r="227" spans="1:3" ht="14.4" x14ac:dyDescent="0.3">
      <c r="A227" s="35" t="s">
        <v>41</v>
      </c>
      <c r="B227" s="150">
        <v>2136.6000000000004</v>
      </c>
      <c r="C227" s="124">
        <v>0.1390381987375543</v>
      </c>
    </row>
    <row r="228" spans="1:3" ht="14.4" x14ac:dyDescent="0.3">
      <c r="A228" s="35" t="s">
        <v>14</v>
      </c>
      <c r="B228" s="150">
        <v>648.40000000000009</v>
      </c>
      <c r="C228" s="124">
        <v>4.2194312487798466E-2</v>
      </c>
    </row>
    <row r="229" spans="1:3" ht="14.4" x14ac:dyDescent="0.3">
      <c r="A229" s="35" t="s">
        <v>89</v>
      </c>
      <c r="B229" s="150">
        <v>4209.5999999999976</v>
      </c>
      <c r="C229" s="124">
        <v>0.27393765861911845</v>
      </c>
    </row>
    <row r="230" spans="1:3" ht="14.4" x14ac:dyDescent="0.3">
      <c r="A230" s="35" t="s">
        <v>101</v>
      </c>
      <c r="B230" s="150">
        <v>327.60000000000002</v>
      </c>
      <c r="C230" s="124">
        <v>2.1318409578967884E-2</v>
      </c>
    </row>
    <row r="231" spans="1:3" ht="14.4" x14ac:dyDescent="0.3">
      <c r="A231" s="35" t="s">
        <v>74</v>
      </c>
      <c r="B231" s="150">
        <v>336.6</v>
      </c>
      <c r="C231" s="124">
        <v>2.1904080171796673E-2</v>
      </c>
    </row>
    <row r="232" spans="1:3" ht="14.4" x14ac:dyDescent="0.3">
      <c r="A232" s="35" t="s">
        <v>75</v>
      </c>
      <c r="B232" s="150">
        <v>339.6</v>
      </c>
      <c r="C232" s="124">
        <v>2.2099303702739603E-2</v>
      </c>
    </row>
    <row r="233" spans="1:3" ht="14.4" x14ac:dyDescent="0.3">
      <c r="A233" s="35" t="s">
        <v>76</v>
      </c>
      <c r="B233" s="150">
        <v>688.2</v>
      </c>
      <c r="C233" s="124">
        <v>4.4784277998307989E-2</v>
      </c>
    </row>
    <row r="234" spans="1:3" ht="14.4" x14ac:dyDescent="0.3">
      <c r="A234" s="35" t="s">
        <v>51</v>
      </c>
      <c r="B234" s="150">
        <v>436.2</v>
      </c>
      <c r="C234" s="124">
        <v>2.8385501399101926E-2</v>
      </c>
    </row>
    <row r="235" spans="1:3" ht="14.4" x14ac:dyDescent="0.3">
      <c r="A235" s="35" t="s">
        <v>100</v>
      </c>
      <c r="B235" s="150">
        <v>15366.999999999998</v>
      </c>
      <c r="C235" s="124">
        <v>0.99999999999999845</v>
      </c>
    </row>
    <row r="262" spans="1:3" ht="14.4" x14ac:dyDescent="0.3">
      <c r="A262" s="34" t="s">
        <v>99</v>
      </c>
      <c r="B262" s="35" t="s">
        <v>126</v>
      </c>
      <c r="C262" s="124" t="s">
        <v>127</v>
      </c>
    </row>
    <row r="263" spans="1:3" ht="14.4" x14ac:dyDescent="0.3">
      <c r="A263" s="35" t="s">
        <v>104</v>
      </c>
      <c r="B263" s="150"/>
      <c r="C263" s="124"/>
    </row>
    <row r="264" spans="1:3" ht="14.4" x14ac:dyDescent="0.3">
      <c r="A264" s="36" t="s">
        <v>210</v>
      </c>
      <c r="B264" s="150">
        <v>96.2</v>
      </c>
      <c r="C264" s="124">
        <v>6.2601678922366011E-3</v>
      </c>
    </row>
    <row r="265" spans="1:3" ht="14.4" x14ac:dyDescent="0.3">
      <c r="A265" s="36" t="s">
        <v>214</v>
      </c>
      <c r="B265" s="150">
        <v>100.2</v>
      </c>
      <c r="C265" s="124">
        <v>6.5204659334938408E-3</v>
      </c>
    </row>
    <row r="266" spans="1:3" ht="14.4" x14ac:dyDescent="0.3">
      <c r="A266" s="36" t="s">
        <v>212</v>
      </c>
      <c r="B266" s="150">
        <v>98.2</v>
      </c>
      <c r="C266" s="124">
        <v>6.390316912865221E-3</v>
      </c>
    </row>
    <row r="267" spans="1:3" ht="14.4" x14ac:dyDescent="0.3">
      <c r="A267" s="36" t="s">
        <v>213</v>
      </c>
      <c r="B267" s="150">
        <v>99.2</v>
      </c>
      <c r="C267" s="124">
        <v>6.4553914231795309E-3</v>
      </c>
    </row>
    <row r="268" spans="1:3" ht="14.4" x14ac:dyDescent="0.3">
      <c r="A268" s="36" t="s">
        <v>222</v>
      </c>
      <c r="B268" s="150">
        <v>108.2</v>
      </c>
      <c r="C268" s="124">
        <v>7.0410620160083186E-3</v>
      </c>
    </row>
    <row r="269" spans="1:3" ht="14.4" x14ac:dyDescent="0.3">
      <c r="A269" s="36" t="s">
        <v>225</v>
      </c>
      <c r="B269" s="150">
        <v>111.2</v>
      </c>
      <c r="C269" s="124">
        <v>7.2362855469512485E-3</v>
      </c>
    </row>
    <row r="270" spans="1:3" ht="14.4" x14ac:dyDescent="0.3">
      <c r="A270" s="36" t="s">
        <v>224</v>
      </c>
      <c r="B270" s="150">
        <v>110.2</v>
      </c>
      <c r="C270" s="124">
        <v>7.1712110366369385E-3</v>
      </c>
    </row>
    <row r="271" spans="1:3" ht="14.4" x14ac:dyDescent="0.3">
      <c r="A271" s="36" t="s">
        <v>217</v>
      </c>
      <c r="B271" s="150">
        <v>103.2</v>
      </c>
      <c r="C271" s="124">
        <v>6.7156894644367698E-3</v>
      </c>
    </row>
    <row r="272" spans="1:3" ht="14.4" x14ac:dyDescent="0.3">
      <c r="A272" s="36" t="s">
        <v>219</v>
      </c>
      <c r="B272" s="150">
        <v>105.2</v>
      </c>
      <c r="C272" s="124">
        <v>6.8458384850653897E-3</v>
      </c>
    </row>
    <row r="273" spans="1:3" ht="14.4" x14ac:dyDescent="0.3">
      <c r="A273" s="36" t="s">
        <v>218</v>
      </c>
      <c r="B273" s="150">
        <v>104.2</v>
      </c>
      <c r="C273" s="124">
        <v>6.7807639747510797E-3</v>
      </c>
    </row>
    <row r="274" spans="1:3" ht="14.4" x14ac:dyDescent="0.3">
      <c r="A274" s="36" t="s">
        <v>216</v>
      </c>
      <c r="B274" s="150">
        <v>102.2</v>
      </c>
      <c r="C274" s="124">
        <v>6.6506149541224599E-3</v>
      </c>
    </row>
    <row r="275" spans="1:3" ht="14.4" x14ac:dyDescent="0.3">
      <c r="A275" s="36" t="s">
        <v>215</v>
      </c>
      <c r="B275" s="150">
        <v>101.2</v>
      </c>
      <c r="C275" s="124">
        <v>6.5855404438081508E-3</v>
      </c>
    </row>
    <row r="276" spans="1:3" ht="14.4" x14ac:dyDescent="0.3">
      <c r="A276" s="36" t="s">
        <v>221</v>
      </c>
      <c r="B276" s="150">
        <v>107.2</v>
      </c>
      <c r="C276" s="124">
        <v>6.9759875056940087E-3</v>
      </c>
    </row>
    <row r="277" spans="1:3" ht="14.4" x14ac:dyDescent="0.3">
      <c r="A277" s="36" t="s">
        <v>220</v>
      </c>
      <c r="B277" s="150">
        <v>106.2</v>
      </c>
      <c r="C277" s="124">
        <v>6.9109129953796996E-3</v>
      </c>
    </row>
    <row r="278" spans="1:3" ht="14.4" x14ac:dyDescent="0.3">
      <c r="A278" s="36" t="s">
        <v>185</v>
      </c>
      <c r="B278" s="150">
        <v>71.2</v>
      </c>
      <c r="C278" s="124">
        <v>4.6333051343788569E-3</v>
      </c>
    </row>
    <row r="279" spans="1:3" ht="14.4" x14ac:dyDescent="0.3">
      <c r="A279" s="36" t="s">
        <v>192</v>
      </c>
      <c r="B279" s="150">
        <v>78.2</v>
      </c>
      <c r="C279" s="124">
        <v>5.0888267065790256E-3</v>
      </c>
    </row>
    <row r="280" spans="1:3" ht="14.4" x14ac:dyDescent="0.3">
      <c r="A280" s="36" t="s">
        <v>188</v>
      </c>
      <c r="B280" s="150">
        <v>74.2</v>
      </c>
      <c r="C280" s="124">
        <v>4.8285286653217858E-3</v>
      </c>
    </row>
    <row r="281" spans="1:3" ht="14.4" x14ac:dyDescent="0.3">
      <c r="A281" s="36" t="s">
        <v>190</v>
      </c>
      <c r="B281" s="150">
        <v>76.2</v>
      </c>
      <c r="C281" s="124">
        <v>4.9586776859504057E-3</v>
      </c>
    </row>
    <row r="282" spans="1:3" ht="14.4" x14ac:dyDescent="0.3">
      <c r="A282" s="36" t="s">
        <v>182</v>
      </c>
      <c r="B282" s="150">
        <v>68.2</v>
      </c>
      <c r="C282" s="124">
        <v>4.4380816034359279E-3</v>
      </c>
    </row>
    <row r="283" spans="1:3" ht="14.4" x14ac:dyDescent="0.3">
      <c r="A283" s="36" t="s">
        <v>183</v>
      </c>
      <c r="B283" s="150">
        <v>69.2</v>
      </c>
      <c r="C283" s="124">
        <v>4.503156113750237E-3</v>
      </c>
    </row>
    <row r="284" spans="1:3" ht="14.4" x14ac:dyDescent="0.3">
      <c r="A284" s="36" t="s">
        <v>184</v>
      </c>
      <c r="B284" s="150">
        <v>70.2</v>
      </c>
      <c r="C284" s="124">
        <v>4.5682306240645469E-3</v>
      </c>
    </row>
    <row r="285" spans="1:3" ht="14.4" x14ac:dyDescent="0.3">
      <c r="A285" s="36" t="s">
        <v>206</v>
      </c>
      <c r="B285" s="150">
        <v>92.2</v>
      </c>
      <c r="C285" s="124">
        <v>5.9998698509793622E-3</v>
      </c>
    </row>
    <row r="286" spans="1:3" ht="14.4" x14ac:dyDescent="0.3">
      <c r="A286" s="36" t="s">
        <v>208</v>
      </c>
      <c r="B286" s="150">
        <v>94.2</v>
      </c>
      <c r="C286" s="124">
        <v>6.1300188716079821E-3</v>
      </c>
    </row>
    <row r="287" spans="1:3" ht="14.4" x14ac:dyDescent="0.3">
      <c r="A287" s="36" t="s">
        <v>196</v>
      </c>
      <c r="B287" s="150">
        <v>82.2</v>
      </c>
      <c r="C287" s="124">
        <v>5.3491247478362645E-3</v>
      </c>
    </row>
    <row r="288" spans="1:3" ht="14.4" x14ac:dyDescent="0.3">
      <c r="A288" s="36" t="s">
        <v>198</v>
      </c>
      <c r="B288" s="150">
        <v>84.2</v>
      </c>
      <c r="C288" s="124">
        <v>5.4792737684648844E-3</v>
      </c>
    </row>
    <row r="289" spans="1:3" ht="14.4" x14ac:dyDescent="0.3">
      <c r="A289" s="36" t="s">
        <v>194</v>
      </c>
      <c r="B289" s="150">
        <v>80.2</v>
      </c>
      <c r="C289" s="124">
        <v>5.2189757272076446E-3</v>
      </c>
    </row>
    <row r="290" spans="1:3" ht="14.4" x14ac:dyDescent="0.3">
      <c r="A290" s="36" t="s">
        <v>202</v>
      </c>
      <c r="B290" s="150">
        <v>88.2</v>
      </c>
      <c r="C290" s="124">
        <v>5.7395718097221233E-3</v>
      </c>
    </row>
    <row r="291" spans="1:3" ht="14.4" x14ac:dyDescent="0.3">
      <c r="A291" s="36" t="s">
        <v>204</v>
      </c>
      <c r="B291" s="150">
        <v>90.2</v>
      </c>
      <c r="C291" s="124">
        <v>5.8697208303507432E-3</v>
      </c>
    </row>
    <row r="292" spans="1:3" ht="14.4" x14ac:dyDescent="0.3">
      <c r="A292" s="36" t="s">
        <v>200</v>
      </c>
      <c r="B292" s="150">
        <v>86.2</v>
      </c>
      <c r="C292" s="124">
        <v>5.6094227890935034E-3</v>
      </c>
    </row>
    <row r="293" spans="1:3" ht="14.4" x14ac:dyDescent="0.3">
      <c r="A293" s="36" t="s">
        <v>223</v>
      </c>
      <c r="B293" s="150">
        <v>109.2</v>
      </c>
      <c r="C293" s="124">
        <v>7.1061365263226286E-3</v>
      </c>
    </row>
    <row r="294" spans="1:3" ht="14.4" x14ac:dyDescent="0.3">
      <c r="A294" s="36" t="s">
        <v>226</v>
      </c>
      <c r="B294" s="150">
        <v>112.2</v>
      </c>
      <c r="C294" s="124">
        <v>7.3013600572655584E-3</v>
      </c>
    </row>
    <row r="295" spans="1:3" ht="14.4" x14ac:dyDescent="0.3">
      <c r="A295" s="36" t="s">
        <v>229</v>
      </c>
      <c r="B295" s="150">
        <v>115.2</v>
      </c>
      <c r="C295" s="124">
        <v>7.4965835882084874E-3</v>
      </c>
    </row>
    <row r="296" spans="1:3" ht="14.4" x14ac:dyDescent="0.3">
      <c r="A296" s="36" t="s">
        <v>228</v>
      </c>
      <c r="B296" s="150">
        <v>114.2</v>
      </c>
      <c r="C296" s="124">
        <v>7.4315090778941774E-3</v>
      </c>
    </row>
    <row r="297" spans="1:3" ht="14.4" x14ac:dyDescent="0.3">
      <c r="A297" s="36" t="s">
        <v>186</v>
      </c>
      <c r="B297" s="150">
        <v>72.2</v>
      </c>
      <c r="C297" s="124">
        <v>4.6983796446931668E-3</v>
      </c>
    </row>
    <row r="298" spans="1:3" ht="14.4" x14ac:dyDescent="0.3">
      <c r="A298" s="36" t="s">
        <v>187</v>
      </c>
      <c r="B298" s="150">
        <v>73.2</v>
      </c>
      <c r="C298" s="124">
        <v>4.7634541550074768E-3</v>
      </c>
    </row>
    <row r="299" spans="1:3" ht="14.4" x14ac:dyDescent="0.3">
      <c r="A299" s="36" t="s">
        <v>156</v>
      </c>
      <c r="B299" s="150">
        <v>42.2</v>
      </c>
      <c r="C299" s="124">
        <v>2.7461443352638729E-3</v>
      </c>
    </row>
    <row r="300" spans="1:3" ht="14.4" x14ac:dyDescent="0.3">
      <c r="A300" s="36" t="s">
        <v>160</v>
      </c>
      <c r="B300" s="150">
        <v>46.2</v>
      </c>
      <c r="C300" s="124">
        <v>3.0064423765211123E-3</v>
      </c>
    </row>
    <row r="301" spans="1:3" ht="14.4" x14ac:dyDescent="0.3">
      <c r="A301" s="36" t="s">
        <v>158</v>
      </c>
      <c r="B301" s="150">
        <v>44.2</v>
      </c>
      <c r="C301" s="124">
        <v>2.8762933558924928E-3</v>
      </c>
    </row>
    <row r="302" spans="1:3" ht="14.4" x14ac:dyDescent="0.3">
      <c r="A302" s="36" t="s">
        <v>159</v>
      </c>
      <c r="B302" s="150">
        <v>45.2</v>
      </c>
      <c r="C302" s="124">
        <v>2.9413678662068023E-3</v>
      </c>
    </row>
    <row r="303" spans="1:3" ht="14.4" x14ac:dyDescent="0.3">
      <c r="A303" s="36" t="s">
        <v>168</v>
      </c>
      <c r="B303" s="150">
        <v>54.2</v>
      </c>
      <c r="C303" s="124">
        <v>3.5270384590355905E-3</v>
      </c>
    </row>
    <row r="304" spans="1:3" ht="14.4" x14ac:dyDescent="0.3">
      <c r="A304" s="36" t="s">
        <v>171</v>
      </c>
      <c r="B304" s="150">
        <v>57.2</v>
      </c>
      <c r="C304" s="124">
        <v>3.7222619899785199E-3</v>
      </c>
    </row>
    <row r="305" spans="1:3" ht="14.4" x14ac:dyDescent="0.3">
      <c r="A305" s="36" t="s">
        <v>170</v>
      </c>
      <c r="B305" s="150">
        <v>56.2</v>
      </c>
      <c r="C305" s="124">
        <v>3.6571874796642099E-3</v>
      </c>
    </row>
    <row r="306" spans="1:3" ht="14.4" x14ac:dyDescent="0.3">
      <c r="A306" s="36" t="s">
        <v>163</v>
      </c>
      <c r="B306" s="150">
        <v>49.2</v>
      </c>
      <c r="C306" s="124">
        <v>3.2016659074640417E-3</v>
      </c>
    </row>
    <row r="307" spans="1:3" ht="14.4" x14ac:dyDescent="0.3">
      <c r="A307" s="36" t="s">
        <v>165</v>
      </c>
      <c r="B307" s="150">
        <v>51.2</v>
      </c>
      <c r="C307" s="124">
        <v>3.3318149280926611E-3</v>
      </c>
    </row>
    <row r="308" spans="1:3" ht="14.4" x14ac:dyDescent="0.3">
      <c r="A308" s="36" t="s">
        <v>164</v>
      </c>
      <c r="B308" s="150">
        <v>50.2</v>
      </c>
      <c r="C308" s="124">
        <v>3.2667404177783516E-3</v>
      </c>
    </row>
    <row r="309" spans="1:3" ht="14.4" x14ac:dyDescent="0.3">
      <c r="A309" s="36" t="s">
        <v>162</v>
      </c>
      <c r="B309" s="150">
        <v>48.2</v>
      </c>
      <c r="C309" s="124">
        <v>3.1365913971497317E-3</v>
      </c>
    </row>
    <row r="310" spans="1:3" ht="14.4" x14ac:dyDescent="0.3">
      <c r="A310" s="36" t="s">
        <v>161</v>
      </c>
      <c r="B310" s="150">
        <v>47.2</v>
      </c>
      <c r="C310" s="124">
        <v>3.0715168868354222E-3</v>
      </c>
    </row>
    <row r="311" spans="1:3" ht="14.4" x14ac:dyDescent="0.3">
      <c r="A311" s="36" t="s">
        <v>167</v>
      </c>
      <c r="B311" s="150">
        <v>53.2</v>
      </c>
      <c r="C311" s="124">
        <v>3.4619639487212805E-3</v>
      </c>
    </row>
    <row r="312" spans="1:3" ht="14.4" x14ac:dyDescent="0.3">
      <c r="A312" s="36" t="s">
        <v>166</v>
      </c>
      <c r="B312" s="150">
        <v>52.2</v>
      </c>
      <c r="C312" s="124">
        <v>3.396889438406971E-3</v>
      </c>
    </row>
    <row r="313" spans="1:3" ht="14.4" x14ac:dyDescent="0.3">
      <c r="A313" s="36" t="s">
        <v>131</v>
      </c>
      <c r="B313" s="150">
        <v>17.2</v>
      </c>
      <c r="C313" s="124">
        <v>1.1192815774061283E-3</v>
      </c>
    </row>
    <row r="314" spans="1:3" ht="14.4" x14ac:dyDescent="0.3">
      <c r="A314" s="36" t="s">
        <v>138</v>
      </c>
      <c r="B314" s="150">
        <v>24.2</v>
      </c>
      <c r="C314" s="124">
        <v>1.5748031496062968E-3</v>
      </c>
    </row>
    <row r="315" spans="1:3" ht="14.4" x14ac:dyDescent="0.3">
      <c r="A315" s="36" t="s">
        <v>134</v>
      </c>
      <c r="B315" s="150">
        <v>20.2</v>
      </c>
      <c r="C315" s="124">
        <v>1.3145051083490577E-3</v>
      </c>
    </row>
    <row r="316" spans="1:3" ht="14.4" x14ac:dyDescent="0.3">
      <c r="A316" s="36" t="s">
        <v>136</v>
      </c>
      <c r="B316" s="150">
        <v>22.2</v>
      </c>
      <c r="C316" s="124">
        <v>1.4446541289776771E-3</v>
      </c>
    </row>
    <row r="317" spans="1:3" ht="14.4" x14ac:dyDescent="0.3">
      <c r="A317" s="36" t="s">
        <v>128</v>
      </c>
      <c r="B317" s="150">
        <v>38.799999999999997</v>
      </c>
      <c r="C317" s="124">
        <v>2.5248910001952193E-3</v>
      </c>
    </row>
    <row r="318" spans="1:3" ht="14.4" x14ac:dyDescent="0.3">
      <c r="A318" s="36" t="s">
        <v>129</v>
      </c>
      <c r="B318" s="150">
        <v>16.2</v>
      </c>
      <c r="C318" s="124">
        <v>1.0542070670918184E-3</v>
      </c>
    </row>
    <row r="319" spans="1:3" ht="14.4" x14ac:dyDescent="0.3">
      <c r="A319" s="36" t="s">
        <v>130</v>
      </c>
      <c r="B319" s="150">
        <v>16.2</v>
      </c>
      <c r="C319" s="124">
        <v>1.0542070670918184E-3</v>
      </c>
    </row>
    <row r="320" spans="1:3" ht="14.4" x14ac:dyDescent="0.3">
      <c r="A320" s="36" t="s">
        <v>152</v>
      </c>
      <c r="B320" s="150">
        <v>38.200000000000003</v>
      </c>
      <c r="C320" s="124">
        <v>2.485846294006634E-3</v>
      </c>
    </row>
    <row r="321" spans="1:3" ht="14.4" x14ac:dyDescent="0.3">
      <c r="A321" s="36" t="s">
        <v>154</v>
      </c>
      <c r="B321" s="150">
        <v>40.200000000000003</v>
      </c>
      <c r="C321" s="124">
        <v>2.6159953146352535E-3</v>
      </c>
    </row>
    <row r="322" spans="1:3" ht="14.4" x14ac:dyDescent="0.3">
      <c r="A322" s="36" t="s">
        <v>142</v>
      </c>
      <c r="B322" s="150">
        <v>28.2</v>
      </c>
      <c r="C322" s="124">
        <v>1.8351011908635359E-3</v>
      </c>
    </row>
    <row r="323" spans="1:3" ht="14.4" x14ac:dyDescent="0.3">
      <c r="A323" s="36" t="s">
        <v>144</v>
      </c>
      <c r="B323" s="150">
        <v>30.2</v>
      </c>
      <c r="C323" s="124">
        <v>1.9652502114921554E-3</v>
      </c>
    </row>
    <row r="324" spans="1:3" ht="14.4" x14ac:dyDescent="0.3">
      <c r="A324" s="36" t="s">
        <v>140</v>
      </c>
      <c r="B324" s="150">
        <v>26.2</v>
      </c>
      <c r="C324" s="124">
        <v>1.7049521702349163E-3</v>
      </c>
    </row>
    <row r="325" spans="1:3" ht="14.4" x14ac:dyDescent="0.3">
      <c r="A325" s="36" t="s">
        <v>148</v>
      </c>
      <c r="B325" s="150">
        <v>34.200000000000003</v>
      </c>
      <c r="C325" s="124">
        <v>2.2255482527493947E-3</v>
      </c>
    </row>
    <row r="326" spans="1:3" ht="14.4" x14ac:dyDescent="0.3">
      <c r="A326" s="36" t="s">
        <v>150</v>
      </c>
      <c r="B326" s="150">
        <v>36.200000000000003</v>
      </c>
      <c r="C326" s="124">
        <v>2.3556972733780146E-3</v>
      </c>
    </row>
    <row r="327" spans="1:3" ht="14.4" x14ac:dyDescent="0.3">
      <c r="A327" s="36" t="s">
        <v>146</v>
      </c>
      <c r="B327" s="150">
        <v>32.200000000000003</v>
      </c>
      <c r="C327" s="124">
        <v>2.0953992321207753E-3</v>
      </c>
    </row>
    <row r="328" spans="1:3" ht="14.4" x14ac:dyDescent="0.3">
      <c r="A328" s="36" t="s">
        <v>169</v>
      </c>
      <c r="B328" s="150">
        <v>55.2</v>
      </c>
      <c r="C328" s="124">
        <v>3.5921129693499004E-3</v>
      </c>
    </row>
    <row r="329" spans="1:3" ht="14.4" x14ac:dyDescent="0.3">
      <c r="A329" s="36" t="s">
        <v>172</v>
      </c>
      <c r="B329" s="150">
        <v>58.2</v>
      </c>
      <c r="C329" s="124">
        <v>3.7873365002928298E-3</v>
      </c>
    </row>
    <row r="330" spans="1:3" ht="14.4" x14ac:dyDescent="0.3">
      <c r="A330" s="36" t="s">
        <v>175</v>
      </c>
      <c r="B330" s="150">
        <v>61.2</v>
      </c>
      <c r="C330" s="124">
        <v>3.9825600312357592E-3</v>
      </c>
    </row>
    <row r="331" spans="1:3" ht="14.4" x14ac:dyDescent="0.3">
      <c r="A331" s="36" t="s">
        <v>174</v>
      </c>
      <c r="B331" s="150">
        <v>60.2</v>
      </c>
      <c r="C331" s="124">
        <v>3.9174855209214493E-3</v>
      </c>
    </row>
    <row r="332" spans="1:3" ht="14.4" x14ac:dyDescent="0.3">
      <c r="A332" s="36" t="s">
        <v>132</v>
      </c>
      <c r="B332" s="150">
        <v>18.2</v>
      </c>
      <c r="C332" s="124">
        <v>1.184356087720438E-3</v>
      </c>
    </row>
    <row r="333" spans="1:3" ht="14.4" x14ac:dyDescent="0.3">
      <c r="A333" s="36" t="s">
        <v>133</v>
      </c>
      <c r="B333" s="150">
        <v>19.2</v>
      </c>
      <c r="C333" s="124">
        <v>1.2494305980347477E-3</v>
      </c>
    </row>
    <row r="334" spans="1:3" ht="14.4" x14ac:dyDescent="0.3">
      <c r="A334" s="36" t="s">
        <v>264</v>
      </c>
      <c r="B334" s="150">
        <v>150.19999999999999</v>
      </c>
      <c r="C334" s="124">
        <v>9.7741914492093292E-3</v>
      </c>
    </row>
    <row r="335" spans="1:3" ht="14.4" x14ac:dyDescent="0.3">
      <c r="A335" s="36" t="s">
        <v>268</v>
      </c>
      <c r="B335" s="150">
        <v>154.19999999999999</v>
      </c>
      <c r="C335" s="124">
        <v>1.0034489490466567E-2</v>
      </c>
    </row>
    <row r="336" spans="1:3" ht="14.4" x14ac:dyDescent="0.3">
      <c r="A336" s="36" t="s">
        <v>266</v>
      </c>
      <c r="B336" s="150">
        <v>152.19999999999999</v>
      </c>
      <c r="C336" s="124">
        <v>9.9043404698379491E-3</v>
      </c>
    </row>
    <row r="337" spans="1:3" ht="14.4" x14ac:dyDescent="0.3">
      <c r="A337" s="36" t="s">
        <v>267</v>
      </c>
      <c r="B337" s="150">
        <v>153.19999999999999</v>
      </c>
      <c r="C337" s="124">
        <v>9.9694149801522591E-3</v>
      </c>
    </row>
    <row r="338" spans="1:3" ht="14.4" x14ac:dyDescent="0.3">
      <c r="A338" s="36" t="s">
        <v>276</v>
      </c>
      <c r="B338" s="150">
        <v>162.19999999999999</v>
      </c>
      <c r="C338" s="124">
        <v>1.0555085572981047E-2</v>
      </c>
    </row>
    <row r="339" spans="1:3" ht="14.4" x14ac:dyDescent="0.3">
      <c r="A339" s="36" t="s">
        <v>279</v>
      </c>
      <c r="B339" s="150">
        <v>165.2</v>
      </c>
      <c r="C339" s="124">
        <v>1.0750309103923975E-2</v>
      </c>
    </row>
    <row r="340" spans="1:3" ht="14.4" x14ac:dyDescent="0.3">
      <c r="A340" s="36" t="s">
        <v>278</v>
      </c>
      <c r="B340" s="150">
        <v>164.2</v>
      </c>
      <c r="C340" s="124">
        <v>1.0685234593609667E-2</v>
      </c>
    </row>
    <row r="341" spans="1:3" ht="14.4" x14ac:dyDescent="0.3">
      <c r="A341" s="36" t="s">
        <v>271</v>
      </c>
      <c r="B341" s="150">
        <v>157.19999999999999</v>
      </c>
      <c r="C341" s="124">
        <v>1.0229713021409497E-2</v>
      </c>
    </row>
    <row r="342" spans="1:3" ht="14.4" x14ac:dyDescent="0.3">
      <c r="A342" s="36" t="s">
        <v>273</v>
      </c>
      <c r="B342" s="150">
        <v>159.19999999999999</v>
      </c>
      <c r="C342" s="124">
        <v>1.0359862042038117E-2</v>
      </c>
    </row>
    <row r="343" spans="1:3" ht="14.4" x14ac:dyDescent="0.3">
      <c r="A343" s="36" t="s">
        <v>272</v>
      </c>
      <c r="B343" s="150">
        <v>158.19999999999999</v>
      </c>
      <c r="C343" s="124">
        <v>1.0294787531723807E-2</v>
      </c>
    </row>
    <row r="344" spans="1:3" ht="14.4" x14ac:dyDescent="0.3">
      <c r="A344" s="36" t="s">
        <v>270</v>
      </c>
      <c r="B344" s="150">
        <v>156.19999999999999</v>
      </c>
      <c r="C344" s="124">
        <v>1.0164638511095187E-2</v>
      </c>
    </row>
    <row r="345" spans="1:3" ht="14.4" x14ac:dyDescent="0.3">
      <c r="A345" s="36" t="s">
        <v>269</v>
      </c>
      <c r="B345" s="150">
        <v>155.19999999999999</v>
      </c>
      <c r="C345" s="124">
        <v>1.0099564000780877E-2</v>
      </c>
    </row>
    <row r="346" spans="1:3" ht="14.4" x14ac:dyDescent="0.3">
      <c r="A346" s="36" t="s">
        <v>275</v>
      </c>
      <c r="B346" s="150">
        <v>161.19999999999999</v>
      </c>
      <c r="C346" s="124">
        <v>1.0490011062666737E-2</v>
      </c>
    </row>
    <row r="347" spans="1:3" ht="14.4" x14ac:dyDescent="0.3">
      <c r="A347" s="36" t="s">
        <v>274</v>
      </c>
      <c r="B347" s="150">
        <v>160.19999999999999</v>
      </c>
      <c r="C347" s="124">
        <v>1.0424936552352427E-2</v>
      </c>
    </row>
    <row r="348" spans="1:3" ht="14.4" x14ac:dyDescent="0.3">
      <c r="A348" s="36" t="s">
        <v>239</v>
      </c>
      <c r="B348" s="150">
        <v>125.2</v>
      </c>
      <c r="C348" s="124">
        <v>8.1473286913515859E-3</v>
      </c>
    </row>
    <row r="349" spans="1:3" ht="14.4" x14ac:dyDescent="0.3">
      <c r="A349" s="36" t="s">
        <v>246</v>
      </c>
      <c r="B349" s="150">
        <v>132.19999999999999</v>
      </c>
      <c r="C349" s="124">
        <v>8.602850263551752E-3</v>
      </c>
    </row>
    <row r="350" spans="1:3" ht="14.4" x14ac:dyDescent="0.3">
      <c r="A350" s="36" t="s">
        <v>242</v>
      </c>
      <c r="B350" s="150">
        <v>128.19999999999999</v>
      </c>
      <c r="C350" s="124">
        <v>8.342552222294514E-3</v>
      </c>
    </row>
    <row r="351" spans="1:3" ht="14.4" x14ac:dyDescent="0.3">
      <c r="A351" s="36" t="s">
        <v>244</v>
      </c>
      <c r="B351" s="150">
        <v>130.19999999999999</v>
      </c>
      <c r="C351" s="124">
        <v>8.4727012429231339E-3</v>
      </c>
    </row>
    <row r="352" spans="1:3" ht="14.4" x14ac:dyDescent="0.3">
      <c r="A352" s="36" t="s">
        <v>236</v>
      </c>
      <c r="B352" s="150">
        <v>122.2</v>
      </c>
      <c r="C352" s="124">
        <v>7.9521051604086561E-3</v>
      </c>
    </row>
    <row r="353" spans="1:3" ht="14.4" x14ac:dyDescent="0.3">
      <c r="A353" s="36" t="s">
        <v>237</v>
      </c>
      <c r="B353" s="150">
        <v>123.2</v>
      </c>
      <c r="C353" s="124">
        <v>8.017179670722966E-3</v>
      </c>
    </row>
    <row r="354" spans="1:3" ht="14.4" x14ac:dyDescent="0.3">
      <c r="A354" s="36" t="s">
        <v>238</v>
      </c>
      <c r="B354" s="150">
        <v>124.2</v>
      </c>
      <c r="C354" s="124">
        <v>8.082254181037276E-3</v>
      </c>
    </row>
    <row r="355" spans="1:3" ht="14.4" x14ac:dyDescent="0.3">
      <c r="A355" s="36" t="s">
        <v>260</v>
      </c>
      <c r="B355" s="150">
        <v>146.19999999999999</v>
      </c>
      <c r="C355" s="124">
        <v>9.5138934079520895E-3</v>
      </c>
    </row>
    <row r="356" spans="1:3" ht="14.4" x14ac:dyDescent="0.3">
      <c r="A356" s="36" t="s">
        <v>262</v>
      </c>
      <c r="B356" s="150">
        <v>148.19999999999999</v>
      </c>
      <c r="C356" s="124">
        <v>9.6440424285807094E-3</v>
      </c>
    </row>
    <row r="357" spans="1:3" ht="14.4" x14ac:dyDescent="0.3">
      <c r="A357" s="36" t="s">
        <v>250</v>
      </c>
      <c r="B357" s="150">
        <v>136.19999999999999</v>
      </c>
      <c r="C357" s="124">
        <v>8.8631483048089918E-3</v>
      </c>
    </row>
    <row r="358" spans="1:3" ht="14.4" x14ac:dyDescent="0.3">
      <c r="A358" s="36" t="s">
        <v>252</v>
      </c>
      <c r="B358" s="150">
        <v>138.19999999999999</v>
      </c>
      <c r="C358" s="124">
        <v>8.9932973254376117E-3</v>
      </c>
    </row>
    <row r="359" spans="1:3" ht="14.4" x14ac:dyDescent="0.3">
      <c r="A359" s="36" t="s">
        <v>248</v>
      </c>
      <c r="B359" s="150">
        <v>134.19999999999999</v>
      </c>
      <c r="C359" s="124">
        <v>8.7329992841803719E-3</v>
      </c>
    </row>
    <row r="360" spans="1:3" ht="14.4" x14ac:dyDescent="0.3">
      <c r="A360" s="36" t="s">
        <v>256</v>
      </c>
      <c r="B360" s="150">
        <v>142.19999999999999</v>
      </c>
      <c r="C360" s="124">
        <v>9.2535953666948514E-3</v>
      </c>
    </row>
    <row r="361" spans="1:3" ht="14.4" x14ac:dyDescent="0.3">
      <c r="A361" s="36" t="s">
        <v>258</v>
      </c>
      <c r="B361" s="150">
        <v>144.19999999999999</v>
      </c>
      <c r="C361" s="124">
        <v>9.3837443873234696E-3</v>
      </c>
    </row>
    <row r="362" spans="1:3" ht="14.4" x14ac:dyDescent="0.3">
      <c r="A362" s="36" t="s">
        <v>254</v>
      </c>
      <c r="B362" s="150">
        <v>140.19999999999999</v>
      </c>
      <c r="C362" s="124">
        <v>9.1234463460662316E-3</v>
      </c>
    </row>
    <row r="363" spans="1:3" ht="14.4" x14ac:dyDescent="0.3">
      <c r="A363" s="36" t="s">
        <v>277</v>
      </c>
      <c r="B363" s="150">
        <v>163.19999999999999</v>
      </c>
      <c r="C363" s="124">
        <v>1.0620160083295357E-2</v>
      </c>
    </row>
    <row r="364" spans="1:3" ht="14.4" x14ac:dyDescent="0.3">
      <c r="A364" s="36" t="s">
        <v>280</v>
      </c>
      <c r="B364" s="150">
        <v>166.2</v>
      </c>
      <c r="C364" s="124">
        <v>1.0815383614238285E-2</v>
      </c>
    </row>
    <row r="365" spans="1:3" ht="14.4" x14ac:dyDescent="0.3">
      <c r="A365" s="36" t="s">
        <v>283</v>
      </c>
      <c r="B365" s="150">
        <v>169.2</v>
      </c>
      <c r="C365" s="124">
        <v>1.1010607145181215E-2</v>
      </c>
    </row>
    <row r="366" spans="1:3" ht="14.4" x14ac:dyDescent="0.3">
      <c r="A366" s="36" t="s">
        <v>282</v>
      </c>
      <c r="B366" s="150">
        <v>168.2</v>
      </c>
      <c r="C366" s="124">
        <v>1.0945532634866905E-2</v>
      </c>
    </row>
    <row r="367" spans="1:3" ht="14.4" x14ac:dyDescent="0.3">
      <c r="A367" s="36" t="s">
        <v>240</v>
      </c>
      <c r="B367" s="150">
        <v>126.2</v>
      </c>
      <c r="C367" s="124">
        <v>8.2124032016658959E-3</v>
      </c>
    </row>
    <row r="368" spans="1:3" ht="14.4" x14ac:dyDescent="0.3">
      <c r="A368" s="36" t="s">
        <v>241</v>
      </c>
      <c r="B368" s="150">
        <v>127.19999999999999</v>
      </c>
      <c r="C368" s="124">
        <v>8.2774777119802041E-3</v>
      </c>
    </row>
    <row r="369" spans="1:3" ht="14.4" x14ac:dyDescent="0.3">
      <c r="A369" s="35" t="s">
        <v>105</v>
      </c>
      <c r="B369" s="150"/>
      <c r="C369" s="124"/>
    </row>
    <row r="370" spans="1:3" ht="14.4" x14ac:dyDescent="0.3">
      <c r="A370" s="36" t="s">
        <v>211</v>
      </c>
      <c r="B370" s="150">
        <v>97.2</v>
      </c>
      <c r="C370" s="124">
        <v>6.325242402550911E-3</v>
      </c>
    </row>
    <row r="371" spans="1:3" ht="14.4" x14ac:dyDescent="0.3">
      <c r="A371" s="36" t="s">
        <v>193</v>
      </c>
      <c r="B371" s="150">
        <v>79.2</v>
      </c>
      <c r="C371" s="124">
        <v>5.1539012168933356E-3</v>
      </c>
    </row>
    <row r="372" spans="1:3" ht="14.4" x14ac:dyDescent="0.3">
      <c r="A372" s="36" t="s">
        <v>189</v>
      </c>
      <c r="B372" s="150">
        <v>75.2</v>
      </c>
      <c r="C372" s="124">
        <v>4.8936031756360958E-3</v>
      </c>
    </row>
    <row r="373" spans="1:3" ht="14.4" x14ac:dyDescent="0.3">
      <c r="A373" s="36" t="s">
        <v>191</v>
      </c>
      <c r="B373" s="150">
        <v>77.2</v>
      </c>
      <c r="C373" s="124">
        <v>5.0237521962647157E-3</v>
      </c>
    </row>
    <row r="374" spans="1:3" ht="14.4" x14ac:dyDescent="0.3">
      <c r="A374" s="36" t="s">
        <v>233</v>
      </c>
      <c r="B374" s="150">
        <v>119.2</v>
      </c>
      <c r="C374" s="124">
        <v>7.7568816294657263E-3</v>
      </c>
    </row>
    <row r="375" spans="1:3" ht="14.4" x14ac:dyDescent="0.3">
      <c r="A375" s="36" t="s">
        <v>232</v>
      </c>
      <c r="B375" s="150">
        <v>118.2</v>
      </c>
      <c r="C375" s="124">
        <v>7.6918071191514163E-3</v>
      </c>
    </row>
    <row r="376" spans="1:3" ht="14.4" x14ac:dyDescent="0.3">
      <c r="A376" s="36" t="s">
        <v>234</v>
      </c>
      <c r="B376" s="150">
        <v>120.2</v>
      </c>
      <c r="C376" s="124">
        <v>7.8219561397800362E-3</v>
      </c>
    </row>
    <row r="377" spans="1:3" ht="14.4" x14ac:dyDescent="0.3">
      <c r="A377" s="36" t="s">
        <v>231</v>
      </c>
      <c r="B377" s="150">
        <v>117.2</v>
      </c>
      <c r="C377" s="124">
        <v>7.6267326088371072E-3</v>
      </c>
    </row>
    <row r="378" spans="1:3" ht="14.4" x14ac:dyDescent="0.3">
      <c r="A378" s="36" t="s">
        <v>230</v>
      </c>
      <c r="B378" s="150">
        <v>116.2</v>
      </c>
      <c r="C378" s="124">
        <v>7.5616580985227973E-3</v>
      </c>
    </row>
    <row r="379" spans="1:3" ht="14.4" x14ac:dyDescent="0.3">
      <c r="A379" s="36" t="s">
        <v>235</v>
      </c>
      <c r="B379" s="150">
        <v>121.2</v>
      </c>
      <c r="C379" s="124">
        <v>7.8870306500943461E-3</v>
      </c>
    </row>
    <row r="380" spans="1:3" ht="14.4" x14ac:dyDescent="0.3">
      <c r="A380" s="36" t="s">
        <v>207</v>
      </c>
      <c r="B380" s="150">
        <v>93.2</v>
      </c>
      <c r="C380" s="124">
        <v>6.0649443612936721E-3</v>
      </c>
    </row>
    <row r="381" spans="1:3" ht="14.4" x14ac:dyDescent="0.3">
      <c r="A381" s="36" t="s">
        <v>209</v>
      </c>
      <c r="B381" s="150">
        <v>95.2</v>
      </c>
      <c r="C381" s="124">
        <v>6.195093381922292E-3</v>
      </c>
    </row>
    <row r="382" spans="1:3" ht="14.4" x14ac:dyDescent="0.3">
      <c r="A382" s="36" t="s">
        <v>197</v>
      </c>
      <c r="B382" s="150">
        <v>83.2</v>
      </c>
      <c r="C382" s="124">
        <v>5.4141992581505744E-3</v>
      </c>
    </row>
    <row r="383" spans="1:3" ht="14.4" x14ac:dyDescent="0.3">
      <c r="A383" s="36" t="s">
        <v>199</v>
      </c>
      <c r="B383" s="150">
        <v>85.2</v>
      </c>
      <c r="C383" s="124">
        <v>5.5443482787791935E-3</v>
      </c>
    </row>
    <row r="384" spans="1:3" ht="14.4" x14ac:dyDescent="0.3">
      <c r="A384" s="36" t="s">
        <v>195</v>
      </c>
      <c r="B384" s="150">
        <v>81.2</v>
      </c>
      <c r="C384" s="124">
        <v>5.2840502375219546E-3</v>
      </c>
    </row>
    <row r="385" spans="1:3" ht="14.4" x14ac:dyDescent="0.3">
      <c r="A385" s="36" t="s">
        <v>203</v>
      </c>
      <c r="B385" s="150">
        <v>89.2</v>
      </c>
      <c r="C385" s="124">
        <v>5.8046463200364332E-3</v>
      </c>
    </row>
    <row r="386" spans="1:3" ht="14.4" x14ac:dyDescent="0.3">
      <c r="A386" s="36" t="s">
        <v>205</v>
      </c>
      <c r="B386" s="150">
        <v>91.2</v>
      </c>
      <c r="C386" s="124">
        <v>5.9347953406650522E-3</v>
      </c>
    </row>
    <row r="387" spans="1:3" ht="14.4" x14ac:dyDescent="0.3">
      <c r="A387" s="36" t="s">
        <v>201</v>
      </c>
      <c r="B387" s="150">
        <v>87.2</v>
      </c>
      <c r="C387" s="124">
        <v>5.6744972994078133E-3</v>
      </c>
    </row>
    <row r="388" spans="1:3" ht="14.4" x14ac:dyDescent="0.3">
      <c r="A388" s="36" t="s">
        <v>227</v>
      </c>
      <c r="B388" s="150">
        <v>113.2</v>
      </c>
      <c r="C388" s="124">
        <v>7.3664345675798675E-3</v>
      </c>
    </row>
    <row r="389" spans="1:3" ht="14.4" x14ac:dyDescent="0.3">
      <c r="A389" s="36" t="s">
        <v>157</v>
      </c>
      <c r="B389" s="150">
        <v>43.2</v>
      </c>
      <c r="C389" s="124">
        <v>2.8112188455781829E-3</v>
      </c>
    </row>
    <row r="390" spans="1:3" ht="14.4" x14ac:dyDescent="0.3">
      <c r="A390" s="36" t="s">
        <v>139</v>
      </c>
      <c r="B390" s="150">
        <v>25.2</v>
      </c>
      <c r="C390" s="124">
        <v>1.6398776599206065E-3</v>
      </c>
    </row>
    <row r="391" spans="1:3" ht="14.4" x14ac:dyDescent="0.3">
      <c r="A391" s="36" t="s">
        <v>135</v>
      </c>
      <c r="B391" s="150">
        <v>21.2</v>
      </c>
      <c r="C391" s="124">
        <v>1.3795796186633674E-3</v>
      </c>
    </row>
    <row r="392" spans="1:3" ht="14.4" x14ac:dyDescent="0.3">
      <c r="A392" s="36" t="s">
        <v>137</v>
      </c>
      <c r="B392" s="150">
        <v>23.2</v>
      </c>
      <c r="C392" s="124">
        <v>1.5097286392919869E-3</v>
      </c>
    </row>
    <row r="393" spans="1:3" ht="14.4" x14ac:dyDescent="0.3">
      <c r="A393" s="36" t="s">
        <v>179</v>
      </c>
      <c r="B393" s="150">
        <v>65.2</v>
      </c>
      <c r="C393" s="124">
        <v>4.2428580724929981E-3</v>
      </c>
    </row>
    <row r="394" spans="1:3" ht="14.4" x14ac:dyDescent="0.3">
      <c r="A394" s="36" t="s">
        <v>178</v>
      </c>
      <c r="B394" s="150">
        <v>64.2</v>
      </c>
      <c r="C394" s="124">
        <v>4.1777835621786882E-3</v>
      </c>
    </row>
    <row r="395" spans="1:3" ht="14.4" x14ac:dyDescent="0.3">
      <c r="A395" s="36" t="s">
        <v>180</v>
      </c>
      <c r="B395" s="150">
        <v>66.2</v>
      </c>
      <c r="C395" s="124">
        <v>4.3079325828073081E-3</v>
      </c>
    </row>
    <row r="396" spans="1:3" ht="14.4" x14ac:dyDescent="0.3">
      <c r="A396" s="36" t="s">
        <v>177</v>
      </c>
      <c r="B396" s="150">
        <v>63.2</v>
      </c>
      <c r="C396" s="124">
        <v>4.1127090518643782E-3</v>
      </c>
    </row>
    <row r="397" spans="1:3" ht="14.4" x14ac:dyDescent="0.3">
      <c r="A397" s="36" t="s">
        <v>176</v>
      </c>
      <c r="B397" s="150">
        <v>62.2</v>
      </c>
      <c r="C397" s="124">
        <v>4.0476345415500692E-3</v>
      </c>
    </row>
    <row r="398" spans="1:3" ht="14.4" x14ac:dyDescent="0.3">
      <c r="A398" s="36" t="s">
        <v>181</v>
      </c>
      <c r="B398" s="150">
        <v>67.2</v>
      </c>
      <c r="C398" s="124">
        <v>4.373007093121618E-3</v>
      </c>
    </row>
    <row r="399" spans="1:3" ht="14.4" x14ac:dyDescent="0.3">
      <c r="A399" s="36" t="s">
        <v>153</v>
      </c>
      <c r="B399" s="150">
        <v>39.200000000000003</v>
      </c>
      <c r="C399" s="124">
        <v>2.5509208043209435E-3</v>
      </c>
    </row>
    <row r="400" spans="1:3" ht="14.4" x14ac:dyDescent="0.3">
      <c r="A400" s="36" t="s">
        <v>155</v>
      </c>
      <c r="B400" s="150">
        <v>41.2</v>
      </c>
      <c r="C400" s="124">
        <v>2.6810698249495634E-3</v>
      </c>
    </row>
    <row r="401" spans="1:3" ht="14.4" x14ac:dyDescent="0.3">
      <c r="A401" s="36" t="s">
        <v>143</v>
      </c>
      <c r="B401" s="150">
        <v>29.2</v>
      </c>
      <c r="C401" s="124">
        <v>1.9001757011778456E-3</v>
      </c>
    </row>
    <row r="402" spans="1:3" ht="14.4" x14ac:dyDescent="0.3">
      <c r="A402" s="36" t="s">
        <v>145</v>
      </c>
      <c r="B402" s="150">
        <v>31.200000000000003</v>
      </c>
      <c r="C402" s="124">
        <v>2.0303247218064653E-3</v>
      </c>
    </row>
    <row r="403" spans="1:3" ht="14.4" x14ac:dyDescent="0.3">
      <c r="A403" s="36" t="s">
        <v>141</v>
      </c>
      <c r="B403" s="150">
        <v>27.2</v>
      </c>
      <c r="C403" s="124">
        <v>1.7700266805492262E-3</v>
      </c>
    </row>
    <row r="404" spans="1:3" ht="14.4" x14ac:dyDescent="0.3">
      <c r="A404" s="36" t="s">
        <v>149</v>
      </c>
      <c r="B404" s="150">
        <v>35.200000000000003</v>
      </c>
      <c r="C404" s="124">
        <v>2.2906227630637046E-3</v>
      </c>
    </row>
    <row r="405" spans="1:3" ht="14.4" x14ac:dyDescent="0.3">
      <c r="A405" s="36" t="s">
        <v>151</v>
      </c>
      <c r="B405" s="150">
        <v>37.200000000000003</v>
      </c>
      <c r="C405" s="124">
        <v>2.4207717836923241E-3</v>
      </c>
    </row>
    <row r="406" spans="1:3" ht="14.4" x14ac:dyDescent="0.3">
      <c r="A406" s="36" t="s">
        <v>147</v>
      </c>
      <c r="B406" s="150">
        <v>33.200000000000003</v>
      </c>
      <c r="C406" s="124">
        <v>2.1604737424350852E-3</v>
      </c>
    </row>
    <row r="407" spans="1:3" ht="14.4" x14ac:dyDescent="0.3">
      <c r="A407" s="36" t="s">
        <v>173</v>
      </c>
      <c r="B407" s="150">
        <v>59.2</v>
      </c>
      <c r="C407" s="124">
        <v>3.8524110106071393E-3</v>
      </c>
    </row>
    <row r="408" spans="1:3" ht="14.4" x14ac:dyDescent="0.3">
      <c r="A408" s="36" t="s">
        <v>265</v>
      </c>
      <c r="B408" s="150">
        <v>151.19999999999999</v>
      </c>
      <c r="C408" s="124">
        <v>9.8392659595236392E-3</v>
      </c>
    </row>
    <row r="409" spans="1:3" ht="14.4" x14ac:dyDescent="0.3">
      <c r="A409" s="36" t="s">
        <v>247</v>
      </c>
      <c r="B409" s="150">
        <v>133.19999999999999</v>
      </c>
      <c r="C409" s="124">
        <v>8.667924773866062E-3</v>
      </c>
    </row>
    <row r="410" spans="1:3" ht="14.4" x14ac:dyDescent="0.3">
      <c r="A410" s="36" t="s">
        <v>243</v>
      </c>
      <c r="B410" s="150">
        <v>129.19999999999999</v>
      </c>
      <c r="C410" s="124">
        <v>8.4076267326088239E-3</v>
      </c>
    </row>
    <row r="411" spans="1:3" ht="14.4" x14ac:dyDescent="0.3">
      <c r="A411" s="36" t="s">
        <v>245</v>
      </c>
      <c r="B411" s="150">
        <v>131.19999999999999</v>
      </c>
      <c r="C411" s="124">
        <v>8.5377757532374438E-3</v>
      </c>
    </row>
    <row r="412" spans="1:3" ht="14.4" x14ac:dyDescent="0.3">
      <c r="A412" s="36" t="s">
        <v>287</v>
      </c>
      <c r="B412" s="150">
        <v>173.2</v>
      </c>
      <c r="C412" s="124">
        <v>1.1270905186438454E-2</v>
      </c>
    </row>
    <row r="413" spans="1:3" ht="14.4" x14ac:dyDescent="0.3">
      <c r="A413" s="36" t="s">
        <v>286</v>
      </c>
      <c r="B413" s="150">
        <v>172.2</v>
      </c>
      <c r="C413" s="124">
        <v>1.1205830676124144E-2</v>
      </c>
    </row>
    <row r="414" spans="1:3" ht="14.4" x14ac:dyDescent="0.3">
      <c r="A414" s="36" t="s">
        <v>288</v>
      </c>
      <c r="B414" s="150">
        <v>174.2</v>
      </c>
      <c r="C414" s="124">
        <v>1.1335979696752764E-2</v>
      </c>
    </row>
    <row r="415" spans="1:3" ht="14.4" x14ac:dyDescent="0.3">
      <c r="A415" s="36" t="s">
        <v>285</v>
      </c>
      <c r="B415" s="150">
        <v>171.2</v>
      </c>
      <c r="C415" s="124">
        <v>1.1140756165809835E-2</v>
      </c>
    </row>
    <row r="416" spans="1:3" ht="14.4" x14ac:dyDescent="0.3">
      <c r="A416" s="36" t="s">
        <v>284</v>
      </c>
      <c r="B416" s="150">
        <v>170.2</v>
      </c>
      <c r="C416" s="124">
        <v>1.1075681655495525E-2</v>
      </c>
    </row>
    <row r="417" spans="1:3" ht="14.4" x14ac:dyDescent="0.3">
      <c r="A417" s="36" t="s">
        <v>289</v>
      </c>
      <c r="B417" s="150">
        <v>175.2</v>
      </c>
      <c r="C417" s="124">
        <v>1.1401054207067074E-2</v>
      </c>
    </row>
    <row r="418" spans="1:3" ht="14.4" x14ac:dyDescent="0.3">
      <c r="A418" s="36" t="s">
        <v>261</v>
      </c>
      <c r="B418" s="150">
        <v>147.19999999999999</v>
      </c>
      <c r="C418" s="124">
        <v>9.5789679182663994E-3</v>
      </c>
    </row>
    <row r="419" spans="1:3" ht="14.4" x14ac:dyDescent="0.3">
      <c r="A419" s="36" t="s">
        <v>263</v>
      </c>
      <c r="B419" s="150">
        <v>149.19999999999999</v>
      </c>
      <c r="C419" s="124">
        <v>9.7091169388950193E-3</v>
      </c>
    </row>
    <row r="420" spans="1:3" ht="14.4" x14ac:dyDescent="0.3">
      <c r="A420" s="36" t="s">
        <v>251</v>
      </c>
      <c r="B420" s="150">
        <v>137.19999999999999</v>
      </c>
      <c r="C420" s="124">
        <v>8.9282228151233017E-3</v>
      </c>
    </row>
    <row r="421" spans="1:3" ht="14.4" x14ac:dyDescent="0.3">
      <c r="A421" s="36" t="s">
        <v>253</v>
      </c>
      <c r="B421" s="150">
        <v>139.19999999999999</v>
      </c>
      <c r="C421" s="124">
        <v>9.0583718357519216E-3</v>
      </c>
    </row>
    <row r="422" spans="1:3" ht="14.4" x14ac:dyDescent="0.3">
      <c r="A422" s="36" t="s">
        <v>249</v>
      </c>
      <c r="B422" s="150">
        <v>135.19999999999999</v>
      </c>
      <c r="C422" s="124">
        <v>8.7980737944946819E-3</v>
      </c>
    </row>
    <row r="423" spans="1:3" ht="14.4" x14ac:dyDescent="0.3">
      <c r="A423" s="36" t="s">
        <v>257</v>
      </c>
      <c r="B423" s="150">
        <v>143.19999999999999</v>
      </c>
      <c r="C423" s="124">
        <v>9.3186698770091596E-3</v>
      </c>
    </row>
    <row r="424" spans="1:3" ht="14.4" x14ac:dyDescent="0.3">
      <c r="A424" s="36" t="s">
        <v>259</v>
      </c>
      <c r="B424" s="150">
        <v>145.19999999999999</v>
      </c>
      <c r="C424" s="124">
        <v>9.4488188976377795E-3</v>
      </c>
    </row>
    <row r="425" spans="1:3" ht="14.4" x14ac:dyDescent="0.3">
      <c r="A425" s="36" t="s">
        <v>255</v>
      </c>
      <c r="B425" s="150">
        <v>141.19999999999999</v>
      </c>
      <c r="C425" s="124">
        <v>9.1885208563805415E-3</v>
      </c>
    </row>
    <row r="426" spans="1:3" ht="14.4" x14ac:dyDescent="0.3">
      <c r="A426" s="36" t="s">
        <v>281</v>
      </c>
      <c r="B426" s="150">
        <v>167.2</v>
      </c>
      <c r="C426" s="124">
        <v>1.0880458124552595E-2</v>
      </c>
    </row>
    <row r="427" spans="1:3" ht="14.4" x14ac:dyDescent="0.3">
      <c r="A427" s="35" t="s">
        <v>100</v>
      </c>
      <c r="B427" s="150">
        <v>15367.000000000036</v>
      </c>
      <c r="C427" s="124">
        <v>0.99999999999999878</v>
      </c>
    </row>
  </sheetData>
  <autoFilter ref="A15:N177"/>
  <pageMargins left="0.7" right="0.7" top="0.75" bottom="0.75" header="0.3" footer="0.3"/>
  <pageSetup paperSize="9" orientation="portrait" r:id="rId5"/>
  <drawing r:id="rId6"/>
  <extLst>
    <ext xmlns:x14="http://schemas.microsoft.com/office/spreadsheetml/2009/9/main" uri="{CCE6A557-97BC-4b89-ADB6-D9C93CAAB3DF}">
      <x14:dataValidations xmlns:xm="http://schemas.microsoft.com/office/excel/2006/main" count="6">
        <x14:dataValidation type="list" allowBlank="1" showInputMessage="1" showErrorMessage="1">
          <x14:formula1>
            <xm:f>'LISTA DE RESIDUOS'!$A$3:$A$7</xm:f>
          </x14:formula1>
          <xm:sqref>B1</xm:sqref>
        </x14:dataValidation>
        <x14:dataValidation type="list" allowBlank="1" showInputMessage="1" showErrorMessage="1">
          <x14:formula1>
            <xm:f>'LISTA DE RESIDUOS'!$B$3:$B$11</xm:f>
          </x14:formula1>
          <xm:sqref>B2</xm:sqref>
        </x14:dataValidation>
        <x14:dataValidation type="list" allowBlank="1" showInputMessage="1" showErrorMessage="1">
          <x14:formula1>
            <xm:f>'LISTA DE RESIDUOS'!$C$3:$C$17</xm:f>
          </x14:formula1>
          <xm:sqref>B3</xm:sqref>
        </x14:dataValidation>
        <x14:dataValidation type="list" allowBlank="1" showInputMessage="1" showErrorMessage="1">
          <x14:formula1>
            <xm:f>'LISTA DE RESIDUOS'!$D$3:$D$4</xm:f>
          </x14:formula1>
          <xm:sqref>B4</xm:sqref>
        </x14:dataValidation>
        <x14:dataValidation type="list" allowBlank="1" showInputMessage="1" showErrorMessage="1">
          <x14:formula1>
            <xm:f>'LISTA DE RESIDUOS'!$F$3:$F$7</xm:f>
          </x14:formula1>
          <xm:sqref>B6</xm:sqref>
        </x14:dataValidation>
        <x14:dataValidation type="list" allowBlank="1" showInputMessage="1" showErrorMessage="1">
          <x14:formula1>
            <xm:f>'LISTA DE RESIDUOS'!$G$3:$G$4</xm:f>
          </x14:formula1>
          <xm:sqref>B7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6"/>
  <sheetViews>
    <sheetView topLeftCell="A53" zoomScaleNormal="100" workbookViewId="0">
      <selection activeCell="I16" sqref="I16"/>
    </sheetView>
  </sheetViews>
  <sheetFormatPr baseColWidth="10" defaultRowHeight="24.75" customHeight="1" x14ac:dyDescent="0.3"/>
  <cols>
    <col min="1" max="1" width="15.6640625" customWidth="1"/>
    <col min="2" max="2" width="30.33203125" customWidth="1"/>
    <col min="3" max="3" width="39" customWidth="1"/>
    <col min="4" max="4" width="17.109375" style="117" customWidth="1"/>
    <col min="5" max="7" width="17.33203125" customWidth="1"/>
    <col min="8" max="8" width="19.5546875" customWidth="1"/>
    <col min="9" max="9" width="18.109375" customWidth="1"/>
    <col min="10" max="10" width="19.109375" customWidth="1"/>
    <col min="11" max="11" width="20.88671875" customWidth="1"/>
  </cols>
  <sheetData>
    <row r="1" spans="1:11" ht="24.75" customHeight="1" thickBot="1" x14ac:dyDescent="0.35">
      <c r="A1" s="181" t="s">
        <v>0</v>
      </c>
      <c r="B1" s="182"/>
      <c r="C1" s="182"/>
      <c r="D1" s="182"/>
      <c r="E1" s="182"/>
      <c r="F1" s="182"/>
      <c r="G1" s="182"/>
      <c r="H1" s="182"/>
      <c r="I1" s="182"/>
      <c r="J1" s="182"/>
      <c r="K1" s="183"/>
    </row>
    <row r="2" spans="1:11" ht="24.75" customHeight="1" thickBot="1" x14ac:dyDescent="0.35">
      <c r="A2" s="184" t="s">
        <v>1</v>
      </c>
      <c r="B2" s="185"/>
      <c r="C2" s="185"/>
      <c r="D2" s="185"/>
      <c r="E2" s="185"/>
      <c r="F2" s="185"/>
      <c r="G2" s="185"/>
      <c r="H2" s="185"/>
      <c r="I2" s="185"/>
      <c r="J2" s="185"/>
      <c r="K2" s="186"/>
    </row>
    <row r="3" spans="1:11" ht="24.75" customHeight="1" thickBot="1" x14ac:dyDescent="0.35">
      <c r="A3" s="178" t="s">
        <v>115</v>
      </c>
      <c r="B3" s="179"/>
      <c r="C3" s="180"/>
      <c r="D3" s="119"/>
      <c r="E3" s="120"/>
      <c r="F3" s="113"/>
      <c r="G3" s="113"/>
      <c r="H3" s="113"/>
      <c r="I3" s="113"/>
      <c r="J3" s="113"/>
      <c r="K3" s="114"/>
    </row>
    <row r="4" spans="1:11" ht="24.75" customHeight="1" thickBot="1" x14ac:dyDescent="0.35">
      <c r="A4" s="178" t="s">
        <v>2</v>
      </c>
      <c r="B4" s="179"/>
      <c r="C4" s="180"/>
      <c r="D4" s="119"/>
      <c r="E4" s="120"/>
      <c r="F4" s="21"/>
      <c r="G4" s="21"/>
      <c r="H4" s="187" t="s">
        <v>3</v>
      </c>
      <c r="I4" s="188"/>
      <c r="J4" s="189"/>
      <c r="K4" s="22"/>
    </row>
    <row r="5" spans="1:11" ht="24.75" customHeight="1" thickBot="1" x14ac:dyDescent="0.35">
      <c r="A5" s="178" t="s">
        <v>65</v>
      </c>
      <c r="B5" s="179"/>
      <c r="C5" s="180"/>
      <c r="D5" s="119"/>
      <c r="E5" s="120"/>
      <c r="F5" s="21"/>
      <c r="G5" s="21"/>
      <c r="H5" s="187" t="s">
        <v>4</v>
      </c>
      <c r="I5" s="188"/>
      <c r="J5" s="189"/>
      <c r="K5" s="22"/>
    </row>
    <row r="6" spans="1:11" ht="24.75" customHeight="1" thickBot="1" x14ac:dyDescent="0.35">
      <c r="A6" s="178" t="s">
        <v>5</v>
      </c>
      <c r="B6" s="179"/>
      <c r="C6" s="180"/>
      <c r="D6" s="119"/>
      <c r="E6" s="120"/>
      <c r="F6" s="21"/>
      <c r="G6" s="21"/>
      <c r="H6" s="178" t="s">
        <v>6</v>
      </c>
      <c r="I6" s="179"/>
      <c r="J6" s="180"/>
      <c r="K6" s="22"/>
    </row>
    <row r="7" spans="1:11" ht="24.75" customHeight="1" thickBot="1" x14ac:dyDescent="0.35">
      <c r="A7" s="178" t="s">
        <v>61</v>
      </c>
      <c r="B7" s="179"/>
      <c r="C7" s="23"/>
      <c r="D7" s="119"/>
      <c r="E7" s="120"/>
      <c r="F7" s="21"/>
      <c r="G7" s="21"/>
      <c r="H7" s="178" t="s">
        <v>8</v>
      </c>
      <c r="I7" s="179"/>
      <c r="J7" s="180"/>
      <c r="K7" s="22"/>
    </row>
    <row r="8" spans="1:11" ht="24.75" customHeight="1" thickBot="1" x14ac:dyDescent="0.35">
      <c r="A8" s="178" t="s">
        <v>7</v>
      </c>
      <c r="B8" s="179"/>
      <c r="C8" s="180"/>
      <c r="D8" s="119"/>
      <c r="E8" s="120"/>
      <c r="F8" s="21"/>
      <c r="G8" s="21"/>
      <c r="H8" s="178" t="s">
        <v>63</v>
      </c>
      <c r="I8" s="179"/>
      <c r="J8" s="180"/>
      <c r="K8" s="22"/>
    </row>
    <row r="9" spans="1:11" ht="24.75" customHeight="1" thickBot="1" x14ac:dyDescent="0.35">
      <c r="A9" s="178" t="s">
        <v>62</v>
      </c>
      <c r="B9" s="179"/>
      <c r="C9" s="180"/>
      <c r="D9" s="119"/>
      <c r="E9" s="120"/>
      <c r="F9" s="21"/>
      <c r="G9" s="21"/>
      <c r="H9" s="178" t="s">
        <v>64</v>
      </c>
      <c r="I9" s="179"/>
      <c r="J9" s="180"/>
      <c r="K9" s="22"/>
    </row>
    <row r="10" spans="1:11" ht="24.75" customHeight="1" thickBot="1" x14ac:dyDescent="0.35">
      <c r="A10" s="160" t="s">
        <v>9</v>
      </c>
      <c r="B10" s="161"/>
      <c r="C10" s="161"/>
      <c r="D10" s="161"/>
      <c r="E10" s="161"/>
      <c r="F10" s="161"/>
      <c r="G10" s="161"/>
      <c r="H10" s="161"/>
      <c r="I10" s="161"/>
      <c r="J10" s="161"/>
      <c r="K10" s="162"/>
    </row>
    <row r="11" spans="1:11" ht="24.75" customHeight="1" thickBot="1" x14ac:dyDescent="0.35">
      <c r="A11" s="163" t="s">
        <v>10</v>
      </c>
      <c r="B11" s="164"/>
      <c r="C11" s="164"/>
      <c r="D11" s="167" t="s">
        <v>11</v>
      </c>
      <c r="E11" s="168"/>
      <c r="F11" s="169" t="s">
        <v>82</v>
      </c>
      <c r="G11" s="170"/>
      <c r="H11" s="169" t="s">
        <v>90</v>
      </c>
      <c r="I11" s="170"/>
      <c r="J11" s="171" t="s">
        <v>83</v>
      </c>
      <c r="K11" s="172"/>
    </row>
    <row r="12" spans="1:11" ht="24.75" customHeight="1" thickBot="1" x14ac:dyDescent="0.35">
      <c r="A12" s="165"/>
      <c r="B12" s="166"/>
      <c r="C12" s="166"/>
      <c r="D12" s="115" t="s">
        <v>12</v>
      </c>
      <c r="E12" s="1" t="s">
        <v>13</v>
      </c>
      <c r="F12" s="20" t="s">
        <v>12</v>
      </c>
      <c r="G12" s="8" t="s">
        <v>13</v>
      </c>
      <c r="H12" s="20" t="s">
        <v>12</v>
      </c>
      <c r="I12" s="8" t="s">
        <v>13</v>
      </c>
      <c r="J12" s="20" t="s">
        <v>12</v>
      </c>
      <c r="K12" s="8" t="s">
        <v>13</v>
      </c>
    </row>
    <row r="13" spans="1:11" ht="24.75" customHeight="1" thickBot="1" x14ac:dyDescent="0.35">
      <c r="A13" s="173" t="s">
        <v>14</v>
      </c>
      <c r="B13" s="28" t="s">
        <v>15</v>
      </c>
      <c r="C13" s="28"/>
      <c r="D13" s="116">
        <f>'FICHA DE CARACTERIZACION A 3.1'!M16</f>
        <v>38.799999999999997</v>
      </c>
      <c r="E13" s="121">
        <f>D13/$D$67</f>
        <v>1.745075110191598E-2</v>
      </c>
      <c r="F13" s="116">
        <f>'FICHA DE CARACTERIZACION A 3.1'!M70</f>
        <v>68.2</v>
      </c>
      <c r="G13" s="121">
        <f>F13/$F$67</f>
        <v>1.3336462122100993E-2</v>
      </c>
      <c r="H13" s="116">
        <f>'FICHA DE CARACTERIZACION A 3.1'!M124</f>
        <v>122.2</v>
      </c>
      <c r="I13" s="121">
        <f>H13/$H$67</f>
        <v>1.5218311788587523E-2</v>
      </c>
      <c r="J13" s="116">
        <f>D13+F13+H13</f>
        <v>229.2</v>
      </c>
      <c r="K13" s="121">
        <f>J13/$J$67</f>
        <v>1.4915077764039813E-2</v>
      </c>
    </row>
    <row r="14" spans="1:11" ht="24.75" customHeight="1" thickBot="1" x14ac:dyDescent="0.35">
      <c r="A14" s="174"/>
      <c r="B14" s="28" t="s">
        <v>16</v>
      </c>
      <c r="C14" s="28"/>
      <c r="D14" s="116">
        <f>'FICHA DE CARACTERIZACION A 3.1'!M17</f>
        <v>16.2</v>
      </c>
      <c r="E14" s="121">
        <f t="shared" ref="E14:E66" si="0">D14/$D$67</f>
        <v>7.286138346676259E-3</v>
      </c>
      <c r="F14" s="116">
        <f>'FICHA DE CARACTERIZACION A 3.1'!M71</f>
        <v>69.2</v>
      </c>
      <c r="G14" s="121">
        <f t="shared" ref="G14:G66" si="1">F14/$F$67</f>
        <v>1.3532011420079013E-2</v>
      </c>
      <c r="H14" s="116">
        <f>'FICHA DE CARACTERIZACION A 3.1'!M125</f>
        <v>123.2</v>
      </c>
      <c r="I14" s="121">
        <f t="shared" ref="I14:I66" si="2">H14/$H$67</f>
        <v>1.5342847891603789E-2</v>
      </c>
      <c r="J14" s="116">
        <f t="shared" ref="J14:J66" si="3">D14+F14+H14</f>
        <v>208.60000000000002</v>
      </c>
      <c r="K14" s="121">
        <f t="shared" ref="K14:K66" si="4">J14/$J$67</f>
        <v>1.3574542851565032E-2</v>
      </c>
    </row>
    <row r="15" spans="1:11" ht="24.75" customHeight="1" thickBot="1" x14ac:dyDescent="0.35">
      <c r="A15" s="175"/>
      <c r="B15" s="29" t="s">
        <v>17</v>
      </c>
      <c r="C15" s="29"/>
      <c r="D15" s="116">
        <f>'FICHA DE CARACTERIZACION A 3.1'!M18</f>
        <v>16.2</v>
      </c>
      <c r="E15" s="121">
        <f t="shared" si="0"/>
        <v>7.286138346676259E-3</v>
      </c>
      <c r="F15" s="116">
        <f>'FICHA DE CARACTERIZACION A 3.1'!M72</f>
        <v>70.2</v>
      </c>
      <c r="G15" s="121">
        <f t="shared" si="1"/>
        <v>1.3727560718057034E-2</v>
      </c>
      <c r="H15" s="116">
        <f>'FICHA DE CARACTERIZACION A 3.1'!M126</f>
        <v>124.2</v>
      </c>
      <c r="I15" s="121">
        <f t="shared" si="2"/>
        <v>1.5467383994620052E-2</v>
      </c>
      <c r="J15" s="116">
        <f t="shared" si="3"/>
        <v>210.60000000000002</v>
      </c>
      <c r="K15" s="121">
        <f t="shared" si="4"/>
        <v>1.3704691872193652E-2</v>
      </c>
    </row>
    <row r="16" spans="1:11" ht="24.75" customHeight="1" thickBot="1" x14ac:dyDescent="0.35">
      <c r="A16" s="176" t="s">
        <v>18</v>
      </c>
      <c r="B16" s="176"/>
      <c r="C16" s="177"/>
      <c r="D16" s="116">
        <f>'FICHA DE CARACTERIZACION A 3.1'!M19</f>
        <v>17.2</v>
      </c>
      <c r="E16" s="121">
        <f t="shared" si="0"/>
        <v>7.7358999730143003E-3</v>
      </c>
      <c r="F16" s="116">
        <f>'FICHA DE CARACTERIZACION A 3.1'!M73</f>
        <v>71.2</v>
      </c>
      <c r="G16" s="121">
        <f t="shared" si="1"/>
        <v>1.3923110016035054E-2</v>
      </c>
      <c r="H16" s="116">
        <f>'FICHA DE CARACTERIZACION A 3.1'!M127</f>
        <v>125.2</v>
      </c>
      <c r="I16" s="121">
        <f t="shared" si="2"/>
        <v>1.5591920097636318E-2</v>
      </c>
      <c r="J16" s="116">
        <f t="shared" si="3"/>
        <v>213.60000000000002</v>
      </c>
      <c r="K16" s="121">
        <f t="shared" si="4"/>
        <v>1.3899915403136582E-2</v>
      </c>
    </row>
    <row r="17" spans="1:11" ht="24.75" customHeight="1" thickBot="1" x14ac:dyDescent="0.35">
      <c r="A17" s="156" t="s">
        <v>51</v>
      </c>
      <c r="B17" s="157"/>
      <c r="C17" s="14" t="s">
        <v>19</v>
      </c>
      <c r="D17" s="116">
        <f>'FICHA DE CARACTERIZACION A 3.1'!M20</f>
        <v>18.2</v>
      </c>
      <c r="E17" s="121">
        <f t="shared" si="0"/>
        <v>8.1856615993523407E-3</v>
      </c>
      <c r="F17" s="116">
        <f>'FICHA DE CARACTERIZACION A 3.1'!M74</f>
        <v>72.2</v>
      </c>
      <c r="G17" s="121">
        <f t="shared" si="1"/>
        <v>1.4118659314013075E-2</v>
      </c>
      <c r="H17" s="116">
        <f>'FICHA DE CARACTERIZACION A 3.1'!M128</f>
        <v>126.2</v>
      </c>
      <c r="I17" s="121">
        <f t="shared" si="2"/>
        <v>1.5716456200652582E-2</v>
      </c>
      <c r="J17" s="116">
        <f t="shared" si="3"/>
        <v>216.60000000000002</v>
      </c>
      <c r="K17" s="121">
        <f t="shared" si="4"/>
        <v>1.409513893407951E-2</v>
      </c>
    </row>
    <row r="18" spans="1:11" ht="24.75" customHeight="1" thickBot="1" x14ac:dyDescent="0.35">
      <c r="A18" s="158"/>
      <c r="B18" s="159"/>
      <c r="C18" s="15" t="s">
        <v>20</v>
      </c>
      <c r="D18" s="116">
        <f>'FICHA DE CARACTERIZACION A 3.1'!M21</f>
        <v>19.2</v>
      </c>
      <c r="E18" s="121">
        <f t="shared" si="0"/>
        <v>8.635423225690381E-3</v>
      </c>
      <c r="F18" s="116">
        <f>'FICHA DE CARACTERIZACION A 3.1'!M75</f>
        <v>73.2</v>
      </c>
      <c r="G18" s="121">
        <f t="shared" si="1"/>
        <v>1.4314208611991095E-2</v>
      </c>
      <c r="H18" s="116">
        <f>'FICHA DE CARACTERIZACION A 3.1'!M129</f>
        <v>127.19999999999999</v>
      </c>
      <c r="I18" s="121">
        <f t="shared" si="2"/>
        <v>1.5840992303668845E-2</v>
      </c>
      <c r="J18" s="116">
        <f t="shared" si="3"/>
        <v>219.6</v>
      </c>
      <c r="K18" s="121">
        <f t="shared" si="4"/>
        <v>1.4290362465022438E-2</v>
      </c>
    </row>
    <row r="19" spans="1:11" ht="24.75" customHeight="1" thickBot="1" x14ac:dyDescent="0.35">
      <c r="A19" s="152" t="s">
        <v>21</v>
      </c>
      <c r="B19" s="154" t="s">
        <v>22</v>
      </c>
      <c r="C19" s="14" t="s">
        <v>19</v>
      </c>
      <c r="D19" s="116">
        <f>'FICHA DE CARACTERIZACION A 3.1'!M22</f>
        <v>20.2</v>
      </c>
      <c r="E19" s="121">
        <f t="shared" si="0"/>
        <v>9.0851848520284231E-3</v>
      </c>
      <c r="F19" s="116">
        <f>'FICHA DE CARACTERIZACION A 3.1'!M76</f>
        <v>74.2</v>
      </c>
      <c r="G19" s="121">
        <f t="shared" si="1"/>
        <v>1.4509757909969116E-2</v>
      </c>
      <c r="H19" s="116">
        <f>'FICHA DE CARACTERIZACION A 3.1'!M130</f>
        <v>128.19999999999999</v>
      </c>
      <c r="I19" s="121">
        <f t="shared" si="2"/>
        <v>1.5965528406685109E-2</v>
      </c>
      <c r="J19" s="116">
        <f t="shared" si="3"/>
        <v>222.6</v>
      </c>
      <c r="K19" s="121">
        <f t="shared" si="4"/>
        <v>1.4485585995965368E-2</v>
      </c>
    </row>
    <row r="20" spans="1:11" ht="24.75" customHeight="1" thickBot="1" x14ac:dyDescent="0.35">
      <c r="A20" s="153"/>
      <c r="B20" s="155"/>
      <c r="C20" s="15" t="s">
        <v>20</v>
      </c>
      <c r="D20" s="116">
        <f>'FICHA DE CARACTERIZACION A 3.1'!M23</f>
        <v>21.2</v>
      </c>
      <c r="E20" s="121">
        <f t="shared" si="0"/>
        <v>9.5349464783664635E-3</v>
      </c>
      <c r="F20" s="116">
        <f>'FICHA DE CARACTERIZACION A 3.1'!M77</f>
        <v>75.2</v>
      </c>
      <c r="G20" s="121">
        <f t="shared" si="1"/>
        <v>1.4705307207947136E-2</v>
      </c>
      <c r="H20" s="116">
        <f>'FICHA DE CARACTERIZACION A 3.1'!M131</f>
        <v>129.19999999999999</v>
      </c>
      <c r="I20" s="121">
        <f t="shared" si="2"/>
        <v>1.6090064509701373E-2</v>
      </c>
      <c r="J20" s="116">
        <f t="shared" si="3"/>
        <v>225.6</v>
      </c>
      <c r="K20" s="121">
        <f t="shared" si="4"/>
        <v>1.4680809526908298E-2</v>
      </c>
    </row>
    <row r="21" spans="1:11" ht="24.75" customHeight="1" thickBot="1" x14ac:dyDescent="0.35">
      <c r="A21" s="152" t="s">
        <v>23</v>
      </c>
      <c r="B21" s="154" t="s">
        <v>24</v>
      </c>
      <c r="C21" s="14" t="s">
        <v>19</v>
      </c>
      <c r="D21" s="116">
        <f>'FICHA DE CARACTERIZACION A 3.1'!M24</f>
        <v>22.2</v>
      </c>
      <c r="E21" s="121">
        <f t="shared" si="0"/>
        <v>9.9847081047045039E-3</v>
      </c>
      <c r="F21" s="116">
        <f>'FICHA DE CARACTERIZACION A 3.1'!M78</f>
        <v>76.2</v>
      </c>
      <c r="G21" s="121">
        <f t="shared" si="1"/>
        <v>1.4900856505925156E-2</v>
      </c>
      <c r="H21" s="116">
        <f>'FICHA DE CARACTERIZACION A 3.1'!M132</f>
        <v>130.19999999999999</v>
      </c>
      <c r="I21" s="121">
        <f t="shared" si="2"/>
        <v>1.6214600612717636E-2</v>
      </c>
      <c r="J21" s="116">
        <f t="shared" si="3"/>
        <v>228.6</v>
      </c>
      <c r="K21" s="121">
        <f t="shared" si="4"/>
        <v>1.4876033057851228E-2</v>
      </c>
    </row>
    <row r="22" spans="1:11" ht="24.75" customHeight="1" thickBot="1" x14ac:dyDescent="0.35">
      <c r="A22" s="153"/>
      <c r="B22" s="155"/>
      <c r="C22" s="15" t="s">
        <v>20</v>
      </c>
      <c r="D22" s="116">
        <f>'FICHA DE CARACTERIZACION A 3.1'!M25</f>
        <v>23.2</v>
      </c>
      <c r="E22" s="121">
        <f t="shared" si="0"/>
        <v>1.0434469731042544E-2</v>
      </c>
      <c r="F22" s="116">
        <f>'FICHA DE CARACTERIZACION A 3.1'!M79</f>
        <v>77.2</v>
      </c>
      <c r="G22" s="121">
        <f t="shared" si="1"/>
        <v>1.5096405803903177E-2</v>
      </c>
      <c r="H22" s="116">
        <f>'FICHA DE CARACTERIZACION A 3.1'!M133</f>
        <v>131.19999999999999</v>
      </c>
      <c r="I22" s="121">
        <f t="shared" si="2"/>
        <v>1.6339136715733903E-2</v>
      </c>
      <c r="J22" s="116">
        <f t="shared" si="3"/>
        <v>231.6</v>
      </c>
      <c r="K22" s="121">
        <f t="shared" si="4"/>
        <v>1.5071256588794156E-2</v>
      </c>
    </row>
    <row r="23" spans="1:11" ht="24.75" customHeight="1" thickBot="1" x14ac:dyDescent="0.35">
      <c r="A23" s="173" t="s">
        <v>25</v>
      </c>
      <c r="B23" s="190"/>
      <c r="C23" s="14" t="s">
        <v>19</v>
      </c>
      <c r="D23" s="116">
        <f>'FICHA DE CARACTERIZACION A 3.1'!M26</f>
        <v>24.2</v>
      </c>
      <c r="E23" s="121">
        <f t="shared" si="0"/>
        <v>1.0884231357380585E-2</v>
      </c>
      <c r="F23" s="116">
        <f>'FICHA DE CARACTERIZACION A 3.1'!M80</f>
        <v>78.2</v>
      </c>
      <c r="G23" s="121">
        <f t="shared" si="1"/>
        <v>1.5291955101881197E-2</v>
      </c>
      <c r="H23" s="116">
        <f>'FICHA DE CARACTERIZACION A 3.1'!M134</f>
        <v>132.19999999999999</v>
      </c>
      <c r="I23" s="121">
        <f t="shared" si="2"/>
        <v>1.6463672818750167E-2</v>
      </c>
      <c r="J23" s="116">
        <f t="shared" si="3"/>
        <v>234.6</v>
      </c>
      <c r="K23" s="121">
        <f t="shared" si="4"/>
        <v>1.5266480119737086E-2</v>
      </c>
    </row>
    <row r="24" spans="1:11" ht="24.75" customHeight="1" thickBot="1" x14ac:dyDescent="0.35">
      <c r="A24" s="191"/>
      <c r="B24" s="192"/>
      <c r="C24" s="15" t="s">
        <v>20</v>
      </c>
      <c r="D24" s="116">
        <f>'FICHA DE CARACTERIZACION A 3.1'!M27</f>
        <v>25.2</v>
      </c>
      <c r="E24" s="121">
        <f t="shared" si="0"/>
        <v>1.1333992983718627E-2</v>
      </c>
      <c r="F24" s="116">
        <f>'FICHA DE CARACTERIZACION A 3.1'!M81</f>
        <v>79.2</v>
      </c>
      <c r="G24" s="121">
        <f t="shared" si="1"/>
        <v>1.5487504399859218E-2</v>
      </c>
      <c r="H24" s="116">
        <f>'FICHA DE CARACTERIZACION A 3.1'!M135</f>
        <v>133.19999999999999</v>
      </c>
      <c r="I24" s="121">
        <f t="shared" si="2"/>
        <v>1.6588208921766431E-2</v>
      </c>
      <c r="J24" s="116">
        <f t="shared" si="3"/>
        <v>237.6</v>
      </c>
      <c r="K24" s="121">
        <f t="shared" si="4"/>
        <v>1.5461703650680015E-2</v>
      </c>
    </row>
    <row r="25" spans="1:11" ht="24.75" customHeight="1" thickBot="1" x14ac:dyDescent="0.35">
      <c r="A25" s="200" t="s">
        <v>26</v>
      </c>
      <c r="B25" s="2" t="s">
        <v>27</v>
      </c>
      <c r="C25" s="14" t="s">
        <v>19</v>
      </c>
      <c r="D25" s="116">
        <f>'FICHA DE CARACTERIZACION A 3.1'!M28</f>
        <v>26.2</v>
      </c>
      <c r="E25" s="121">
        <f t="shared" si="0"/>
        <v>1.1783754610056667E-2</v>
      </c>
      <c r="F25" s="116">
        <f>'FICHA DE CARACTERIZACION A 3.1'!M82</f>
        <v>80.2</v>
      </c>
      <c r="G25" s="121">
        <f t="shared" si="1"/>
        <v>1.5683053697837238E-2</v>
      </c>
      <c r="H25" s="116">
        <f>'FICHA DE CARACTERIZACION A 3.1'!M136</f>
        <v>134.19999999999999</v>
      </c>
      <c r="I25" s="121">
        <f t="shared" si="2"/>
        <v>1.6712745024782694E-2</v>
      </c>
      <c r="J25" s="116">
        <f t="shared" si="3"/>
        <v>240.6</v>
      </c>
      <c r="K25" s="121">
        <f t="shared" si="4"/>
        <v>1.5656927181622943E-2</v>
      </c>
    </row>
    <row r="26" spans="1:11" ht="24.75" customHeight="1" thickBot="1" x14ac:dyDescent="0.35">
      <c r="A26" s="201"/>
      <c r="B26" s="3"/>
      <c r="C26" s="15" t="s">
        <v>20</v>
      </c>
      <c r="D26" s="116">
        <f>'FICHA DE CARACTERIZACION A 3.1'!M29</f>
        <v>27.2</v>
      </c>
      <c r="E26" s="121">
        <f t="shared" si="0"/>
        <v>1.2233516236394707E-2</v>
      </c>
      <c r="F26" s="116">
        <f>'FICHA DE CARACTERIZACION A 3.1'!M83</f>
        <v>81.2</v>
      </c>
      <c r="G26" s="121">
        <f t="shared" si="1"/>
        <v>1.5878602995815259E-2</v>
      </c>
      <c r="H26" s="116">
        <f>'FICHA DE CARACTERIZACION A 3.1'!M137</f>
        <v>135.19999999999999</v>
      </c>
      <c r="I26" s="121">
        <f t="shared" si="2"/>
        <v>1.6837281127798961E-2</v>
      </c>
      <c r="J26" s="116">
        <f t="shared" si="3"/>
        <v>243.6</v>
      </c>
      <c r="K26" s="121">
        <f t="shared" si="4"/>
        <v>1.5852150712565873E-2</v>
      </c>
    </row>
    <row r="27" spans="1:11" ht="24.75" customHeight="1" thickBot="1" x14ac:dyDescent="0.35">
      <c r="A27" s="201"/>
      <c r="B27" s="4" t="s">
        <v>59</v>
      </c>
      <c r="C27" s="14" t="s">
        <v>19</v>
      </c>
      <c r="D27" s="116">
        <f>'FICHA DE CARACTERIZACION A 3.1'!M30</f>
        <v>28.2</v>
      </c>
      <c r="E27" s="121">
        <f t="shared" si="0"/>
        <v>1.2683277862732748E-2</v>
      </c>
      <c r="F27" s="116">
        <f>'FICHA DE CARACTERIZACION A 3.1'!M84</f>
        <v>82.2</v>
      </c>
      <c r="G27" s="121">
        <f t="shared" si="1"/>
        <v>1.6074152293793279E-2</v>
      </c>
      <c r="H27" s="116">
        <f>'FICHA DE CARACTERIZACION A 3.1'!M138</f>
        <v>136.19999999999999</v>
      </c>
      <c r="I27" s="121">
        <f t="shared" si="2"/>
        <v>1.6961817230815225E-2</v>
      </c>
      <c r="J27" s="116">
        <f t="shared" si="3"/>
        <v>246.6</v>
      </c>
      <c r="K27" s="121">
        <f t="shared" si="4"/>
        <v>1.6047374243508803E-2</v>
      </c>
    </row>
    <row r="28" spans="1:11" ht="24.75" customHeight="1" thickBot="1" x14ac:dyDescent="0.35">
      <c r="A28" s="201"/>
      <c r="B28" s="3"/>
      <c r="C28" s="15" t="s">
        <v>20</v>
      </c>
      <c r="D28" s="116">
        <f>'FICHA DE CARACTERIZACION A 3.1'!M31</f>
        <v>29.2</v>
      </c>
      <c r="E28" s="121">
        <f t="shared" si="0"/>
        <v>1.3133039489070788E-2</v>
      </c>
      <c r="F28" s="116">
        <f>'FICHA DE CARACTERIZACION A 3.1'!M85</f>
        <v>83.2</v>
      </c>
      <c r="G28" s="121">
        <f t="shared" si="1"/>
        <v>1.62697015917713E-2</v>
      </c>
      <c r="H28" s="116">
        <f>'FICHA DE CARACTERIZACION A 3.1'!M139</f>
        <v>137.19999999999999</v>
      </c>
      <c r="I28" s="121">
        <f t="shared" si="2"/>
        <v>1.7086353333831489E-2</v>
      </c>
      <c r="J28" s="116">
        <f t="shared" si="3"/>
        <v>249.6</v>
      </c>
      <c r="K28" s="121">
        <f t="shared" si="4"/>
        <v>1.6242597774451733E-2</v>
      </c>
    </row>
    <row r="29" spans="1:11" ht="24.75" customHeight="1" thickBot="1" x14ac:dyDescent="0.35">
      <c r="A29" s="201"/>
      <c r="B29" s="4" t="s">
        <v>60</v>
      </c>
      <c r="C29" s="14" t="s">
        <v>52</v>
      </c>
      <c r="D29" s="116">
        <f>'FICHA DE CARACTERIZACION A 3.1'!M32</f>
        <v>30.2</v>
      </c>
      <c r="E29" s="121">
        <f t="shared" si="0"/>
        <v>1.358280111540883E-2</v>
      </c>
      <c r="F29" s="116">
        <f>'FICHA DE CARACTERIZACION A 3.1'!M86</f>
        <v>84.2</v>
      </c>
      <c r="G29" s="121">
        <f t="shared" si="1"/>
        <v>1.646525088974932E-2</v>
      </c>
      <c r="H29" s="116">
        <f>'FICHA DE CARACTERIZACION A 3.1'!M140</f>
        <v>138.19999999999999</v>
      </c>
      <c r="I29" s="121">
        <f t="shared" si="2"/>
        <v>1.7210889436847752E-2</v>
      </c>
      <c r="J29" s="116">
        <f t="shared" si="3"/>
        <v>252.6</v>
      </c>
      <c r="K29" s="121">
        <f t="shared" si="4"/>
        <v>1.6437821305394663E-2</v>
      </c>
    </row>
    <row r="30" spans="1:11" ht="24.75" customHeight="1" thickBot="1" x14ac:dyDescent="0.35">
      <c r="A30" s="201"/>
      <c r="B30" s="3"/>
      <c r="C30" s="17" t="s">
        <v>28</v>
      </c>
      <c r="D30" s="116">
        <f>'FICHA DE CARACTERIZACION A 3.1'!M33</f>
        <v>31.200000000000003</v>
      </c>
      <c r="E30" s="121">
        <f t="shared" si="0"/>
        <v>1.4032562741746872E-2</v>
      </c>
      <c r="F30" s="116">
        <f>'FICHA DE CARACTERIZACION A 3.1'!M87</f>
        <v>85.2</v>
      </c>
      <c r="G30" s="121">
        <f t="shared" si="1"/>
        <v>1.6660800187727341E-2</v>
      </c>
      <c r="H30" s="116">
        <f>'FICHA DE CARACTERIZACION A 3.1'!M141</f>
        <v>139.19999999999999</v>
      </c>
      <c r="I30" s="121">
        <f t="shared" si="2"/>
        <v>1.733542553986402E-2</v>
      </c>
      <c r="J30" s="116">
        <f t="shared" si="3"/>
        <v>255.6</v>
      </c>
      <c r="K30" s="121">
        <f t="shared" si="4"/>
        <v>1.6633044836337593E-2</v>
      </c>
    </row>
    <row r="31" spans="1:11" ht="24.75" customHeight="1" thickBot="1" x14ac:dyDescent="0.35">
      <c r="A31" s="201"/>
      <c r="B31" s="4" t="s">
        <v>29</v>
      </c>
      <c r="C31" s="16" t="s">
        <v>19</v>
      </c>
      <c r="D31" s="116">
        <f>'FICHA DE CARACTERIZACION A 3.1'!M34</f>
        <v>32.200000000000003</v>
      </c>
      <c r="E31" s="121">
        <f t="shared" si="0"/>
        <v>1.4482324368084913E-2</v>
      </c>
      <c r="F31" s="116">
        <f>'FICHA DE CARACTERIZACION A 3.1'!M88</f>
        <v>86.2</v>
      </c>
      <c r="G31" s="121">
        <f t="shared" si="1"/>
        <v>1.6856349485705361E-2</v>
      </c>
      <c r="H31" s="116">
        <f>'FICHA DE CARACTERIZACION A 3.1'!M142</f>
        <v>140.19999999999999</v>
      </c>
      <c r="I31" s="121">
        <f t="shared" si="2"/>
        <v>1.7459961642880283E-2</v>
      </c>
      <c r="J31" s="116">
        <f t="shared" si="3"/>
        <v>258.60000000000002</v>
      </c>
      <c r="K31" s="121">
        <f t="shared" si="4"/>
        <v>1.6828268367280522E-2</v>
      </c>
    </row>
    <row r="32" spans="1:11" ht="24.75" customHeight="1" thickBot="1" x14ac:dyDescent="0.35">
      <c r="A32" s="201"/>
      <c r="B32" s="6"/>
      <c r="C32" s="17" t="s">
        <v>20</v>
      </c>
      <c r="D32" s="116">
        <f>'FICHA DE CARACTERIZACION A 3.1'!M35</f>
        <v>33.200000000000003</v>
      </c>
      <c r="E32" s="121">
        <f t="shared" si="0"/>
        <v>1.4932085994422953E-2</v>
      </c>
      <c r="F32" s="116">
        <f>'FICHA DE CARACTERIZACION A 3.1'!M89</f>
        <v>87.2</v>
      </c>
      <c r="G32" s="121">
        <f t="shared" si="1"/>
        <v>1.7051898783683381E-2</v>
      </c>
      <c r="H32" s="116">
        <f>'FICHA DE CARACTERIZACION A 3.1'!M143</f>
        <v>141.19999999999999</v>
      </c>
      <c r="I32" s="121">
        <f t="shared" si="2"/>
        <v>1.7584497745896547E-2</v>
      </c>
      <c r="J32" s="116">
        <f t="shared" si="3"/>
        <v>261.60000000000002</v>
      </c>
      <c r="K32" s="121">
        <f t="shared" si="4"/>
        <v>1.7023491898223452E-2</v>
      </c>
    </row>
    <row r="33" spans="1:11" ht="24.75" customHeight="1" thickBot="1" x14ac:dyDescent="0.35">
      <c r="A33" s="201"/>
      <c r="B33" s="5" t="s">
        <v>30</v>
      </c>
      <c r="C33" s="18" t="s">
        <v>19</v>
      </c>
      <c r="D33" s="116">
        <f>'FICHA DE CARACTERIZACION A 3.1'!M36</f>
        <v>34.200000000000003</v>
      </c>
      <c r="E33" s="121">
        <f t="shared" si="0"/>
        <v>1.5381847620760994E-2</v>
      </c>
      <c r="F33" s="116">
        <f>'FICHA DE CARACTERIZACION A 3.1'!M90</f>
        <v>88.2</v>
      </c>
      <c r="G33" s="121">
        <f t="shared" si="1"/>
        <v>1.7247448081661402E-2</v>
      </c>
      <c r="H33" s="116">
        <f>'FICHA DE CARACTERIZACION A 3.1'!M144</f>
        <v>142.19999999999999</v>
      </c>
      <c r="I33" s="121">
        <f t="shared" si="2"/>
        <v>1.7709033848912811E-2</v>
      </c>
      <c r="J33" s="116">
        <f t="shared" si="3"/>
        <v>264.60000000000002</v>
      </c>
      <c r="K33" s="121">
        <f t="shared" si="4"/>
        <v>1.7218715429166382E-2</v>
      </c>
    </row>
    <row r="34" spans="1:11" ht="24.75" customHeight="1" thickBot="1" x14ac:dyDescent="0.35">
      <c r="A34" s="201"/>
      <c r="B34" s="6"/>
      <c r="C34" s="17" t="s">
        <v>20</v>
      </c>
      <c r="D34" s="116">
        <f>'FICHA DE CARACTERIZACION A 3.1'!M37</f>
        <v>35.200000000000003</v>
      </c>
      <c r="E34" s="121">
        <f t="shared" si="0"/>
        <v>1.5831609247099036E-2</v>
      </c>
      <c r="F34" s="116">
        <f>'FICHA DE CARACTERIZACION A 3.1'!M91</f>
        <v>89.2</v>
      </c>
      <c r="G34" s="121">
        <f t="shared" si="1"/>
        <v>1.7442997379639422E-2</v>
      </c>
      <c r="H34" s="116">
        <f>'FICHA DE CARACTERIZACION A 3.1'!M145</f>
        <v>143.19999999999999</v>
      </c>
      <c r="I34" s="121">
        <f t="shared" si="2"/>
        <v>1.7833569951929078E-2</v>
      </c>
      <c r="J34" s="116">
        <f t="shared" si="3"/>
        <v>267.60000000000002</v>
      </c>
      <c r="K34" s="121">
        <f t="shared" si="4"/>
        <v>1.7413938960109312E-2</v>
      </c>
    </row>
    <row r="35" spans="1:11" ht="24.75" customHeight="1" thickBot="1" x14ac:dyDescent="0.35">
      <c r="A35" s="201"/>
      <c r="B35" s="5" t="s">
        <v>31</v>
      </c>
      <c r="C35" s="5" t="s">
        <v>19</v>
      </c>
      <c r="D35" s="116">
        <f>'FICHA DE CARACTERIZACION A 3.1'!M38</f>
        <v>36.200000000000003</v>
      </c>
      <c r="E35" s="121">
        <f t="shared" si="0"/>
        <v>1.6281370873437076E-2</v>
      </c>
      <c r="F35" s="116">
        <f>'FICHA DE CARACTERIZACION A 3.1'!M92</f>
        <v>90.2</v>
      </c>
      <c r="G35" s="121">
        <f t="shared" si="1"/>
        <v>1.7638546677617443E-2</v>
      </c>
      <c r="H35" s="116">
        <f>'FICHA DE CARACTERIZACION A 3.1'!M146</f>
        <v>144.19999999999999</v>
      </c>
      <c r="I35" s="121">
        <f t="shared" si="2"/>
        <v>1.7958106054945341E-2</v>
      </c>
      <c r="J35" s="116">
        <f t="shared" si="3"/>
        <v>270.60000000000002</v>
      </c>
      <c r="K35" s="121">
        <f t="shared" si="4"/>
        <v>1.7609162491052242E-2</v>
      </c>
    </row>
    <row r="36" spans="1:11" ht="24.75" customHeight="1" thickBot="1" x14ac:dyDescent="0.35">
      <c r="A36" s="201"/>
      <c r="B36" s="6"/>
      <c r="C36" s="17" t="s">
        <v>20</v>
      </c>
      <c r="D36" s="116">
        <f>'FICHA DE CARACTERIZACION A 3.1'!M39</f>
        <v>37.200000000000003</v>
      </c>
      <c r="E36" s="121">
        <f t="shared" si="0"/>
        <v>1.6731132499775116E-2</v>
      </c>
      <c r="F36" s="116">
        <f>'FICHA DE CARACTERIZACION A 3.1'!M93</f>
        <v>91.2</v>
      </c>
      <c r="G36" s="121">
        <f t="shared" si="1"/>
        <v>1.7834095975595463E-2</v>
      </c>
      <c r="H36" s="116">
        <f>'FICHA DE CARACTERIZACION A 3.1'!M147</f>
        <v>145.19999999999999</v>
      </c>
      <c r="I36" s="121">
        <f t="shared" si="2"/>
        <v>1.8082642157961605E-2</v>
      </c>
      <c r="J36" s="116">
        <f t="shared" si="3"/>
        <v>273.60000000000002</v>
      </c>
      <c r="K36" s="121">
        <f t="shared" si="4"/>
        <v>1.7804386021995171E-2</v>
      </c>
    </row>
    <row r="37" spans="1:11" ht="24.75" customHeight="1" thickBot="1" x14ac:dyDescent="0.35">
      <c r="A37" s="201"/>
      <c r="B37" s="5" t="s">
        <v>32</v>
      </c>
      <c r="C37" s="18" t="s">
        <v>19</v>
      </c>
      <c r="D37" s="116">
        <f>'FICHA DE CARACTERIZACION A 3.1'!M40</f>
        <v>38.200000000000003</v>
      </c>
      <c r="E37" s="121">
        <f t="shared" si="0"/>
        <v>1.7180894126113157E-2</v>
      </c>
      <c r="F37" s="116">
        <f>'FICHA DE CARACTERIZACION A 3.1'!M94</f>
        <v>92.2</v>
      </c>
      <c r="G37" s="121">
        <f t="shared" si="1"/>
        <v>1.8029645273573484E-2</v>
      </c>
      <c r="H37" s="116">
        <f>'FICHA DE CARACTERIZACION A 3.1'!M148</f>
        <v>146.19999999999999</v>
      </c>
      <c r="I37" s="121">
        <f t="shared" si="2"/>
        <v>1.8207178260977869E-2</v>
      </c>
      <c r="J37" s="116">
        <f t="shared" si="3"/>
        <v>276.60000000000002</v>
      </c>
      <c r="K37" s="121">
        <f t="shared" si="4"/>
        <v>1.7999609552938101E-2</v>
      </c>
    </row>
    <row r="38" spans="1:11" ht="24.75" customHeight="1" thickBot="1" x14ac:dyDescent="0.35">
      <c r="A38" s="201"/>
      <c r="B38" s="6"/>
      <c r="C38" s="17" t="s">
        <v>20</v>
      </c>
      <c r="D38" s="116">
        <f>'FICHA DE CARACTERIZACION A 3.1'!M41</f>
        <v>39.200000000000003</v>
      </c>
      <c r="E38" s="121">
        <f t="shared" si="0"/>
        <v>1.7630655752451197E-2</v>
      </c>
      <c r="F38" s="116">
        <f>'FICHA DE CARACTERIZACION A 3.1'!M95</f>
        <v>93.2</v>
      </c>
      <c r="G38" s="121">
        <f t="shared" si="1"/>
        <v>1.8225194571551504E-2</v>
      </c>
      <c r="H38" s="116">
        <f>'FICHA DE CARACTERIZACION A 3.1'!M149</f>
        <v>147.19999999999999</v>
      </c>
      <c r="I38" s="121">
        <f t="shared" si="2"/>
        <v>1.8331714363994136E-2</v>
      </c>
      <c r="J38" s="116">
        <f t="shared" si="3"/>
        <v>279.60000000000002</v>
      </c>
      <c r="K38" s="121">
        <f t="shared" si="4"/>
        <v>1.8194833083881031E-2</v>
      </c>
    </row>
    <row r="39" spans="1:11" ht="24.75" customHeight="1" thickBot="1" x14ac:dyDescent="0.35">
      <c r="A39" s="201"/>
      <c r="B39" s="5" t="s">
        <v>33</v>
      </c>
      <c r="C39" s="18" t="s">
        <v>19</v>
      </c>
      <c r="D39" s="116">
        <f>'FICHA DE CARACTERIZACION A 3.1'!M42</f>
        <v>40.200000000000003</v>
      </c>
      <c r="E39" s="121">
        <f t="shared" si="0"/>
        <v>1.8080417378789237E-2</v>
      </c>
      <c r="F39" s="116">
        <f>'FICHA DE CARACTERIZACION A 3.1'!M96</f>
        <v>94.2</v>
      </c>
      <c r="G39" s="121">
        <f t="shared" si="1"/>
        <v>1.8420743869529525E-2</v>
      </c>
      <c r="H39" s="116">
        <f>'FICHA DE CARACTERIZACION A 3.1'!M150</f>
        <v>148.19999999999999</v>
      </c>
      <c r="I39" s="121">
        <f t="shared" si="2"/>
        <v>1.84562504670104E-2</v>
      </c>
      <c r="J39" s="116">
        <f t="shared" si="3"/>
        <v>282.60000000000002</v>
      </c>
      <c r="K39" s="121">
        <f t="shared" si="4"/>
        <v>1.8390056614823961E-2</v>
      </c>
    </row>
    <row r="40" spans="1:11" ht="24.75" customHeight="1" thickBot="1" x14ac:dyDescent="0.35">
      <c r="A40" s="201"/>
      <c r="B40" s="3"/>
      <c r="C40" s="15" t="s">
        <v>20</v>
      </c>
      <c r="D40" s="116">
        <f>'FICHA DE CARACTERIZACION A 3.1'!M43</f>
        <v>41.2</v>
      </c>
      <c r="E40" s="121">
        <f t="shared" si="0"/>
        <v>1.8530179005127278E-2</v>
      </c>
      <c r="F40" s="116">
        <f>'FICHA DE CARACTERIZACION A 3.1'!M97</f>
        <v>95.2</v>
      </c>
      <c r="G40" s="121">
        <f t="shared" si="1"/>
        <v>1.8616293167507545E-2</v>
      </c>
      <c r="H40" s="116">
        <f>'FICHA DE CARACTERIZACION A 3.1'!M151</f>
        <v>149.19999999999999</v>
      </c>
      <c r="I40" s="121">
        <f t="shared" si="2"/>
        <v>1.8580786570026663E-2</v>
      </c>
      <c r="J40" s="116">
        <f t="shared" si="3"/>
        <v>285.60000000000002</v>
      </c>
      <c r="K40" s="121">
        <f t="shared" si="4"/>
        <v>1.8585280145766891E-2</v>
      </c>
    </row>
    <row r="41" spans="1:11" ht="24.75" customHeight="1" thickBot="1" x14ac:dyDescent="0.35">
      <c r="A41" s="208" t="s">
        <v>34</v>
      </c>
      <c r="B41" s="211" t="s">
        <v>35</v>
      </c>
      <c r="C41" s="212"/>
      <c r="D41" s="116">
        <f>'FICHA DE CARACTERIZACION A 3.1'!M44</f>
        <v>42.2</v>
      </c>
      <c r="E41" s="121">
        <f t="shared" si="0"/>
        <v>1.8979940631465322E-2</v>
      </c>
      <c r="F41" s="116">
        <f>'FICHA DE CARACTERIZACION A 3.1'!M98</f>
        <v>96.2</v>
      </c>
      <c r="G41" s="121">
        <f t="shared" si="1"/>
        <v>1.8811842465485566E-2</v>
      </c>
      <c r="H41" s="116">
        <f>'FICHA DE CARACTERIZACION A 3.1'!M152</f>
        <v>150.19999999999999</v>
      </c>
      <c r="I41" s="121">
        <f t="shared" si="2"/>
        <v>1.8705322673042927E-2</v>
      </c>
      <c r="J41" s="116">
        <f t="shared" si="3"/>
        <v>288.60000000000002</v>
      </c>
      <c r="K41" s="121">
        <f t="shared" si="4"/>
        <v>1.8780503676709817E-2</v>
      </c>
    </row>
    <row r="42" spans="1:11" ht="24.75" customHeight="1" thickBot="1" x14ac:dyDescent="0.35">
      <c r="A42" s="209"/>
      <c r="B42" s="213" t="s">
        <v>36</v>
      </c>
      <c r="C42" s="214"/>
      <c r="D42" s="116">
        <f>'FICHA DE CARACTERIZACION A 3.1'!M45</f>
        <v>43.2</v>
      </c>
      <c r="E42" s="121">
        <f t="shared" si="0"/>
        <v>1.9429702257803362E-2</v>
      </c>
      <c r="F42" s="116">
        <f>'FICHA DE CARACTERIZACION A 3.1'!M99</f>
        <v>97.2</v>
      </c>
      <c r="G42" s="121">
        <f t="shared" si="1"/>
        <v>1.9007391763463586E-2</v>
      </c>
      <c r="H42" s="116">
        <f>'FICHA DE CARACTERIZACION A 3.1'!M153</f>
        <v>151.19999999999999</v>
      </c>
      <c r="I42" s="121">
        <f t="shared" si="2"/>
        <v>1.8829858776059194E-2</v>
      </c>
      <c r="J42" s="116">
        <f t="shared" si="3"/>
        <v>291.60000000000002</v>
      </c>
      <c r="K42" s="121">
        <f t="shared" si="4"/>
        <v>1.8975727207652747E-2</v>
      </c>
    </row>
    <row r="43" spans="1:11" ht="24.75" customHeight="1" thickBot="1" x14ac:dyDescent="0.35">
      <c r="A43" s="209"/>
      <c r="B43" s="31" t="s">
        <v>37</v>
      </c>
      <c r="C43" s="32"/>
      <c r="D43" s="116">
        <f>'FICHA DE CARACTERIZACION A 3.1'!M46</f>
        <v>44.2</v>
      </c>
      <c r="E43" s="121">
        <f t="shared" si="0"/>
        <v>1.9879463884141402E-2</v>
      </c>
      <c r="F43" s="116">
        <f>'FICHA DE CARACTERIZACION A 3.1'!M100</f>
        <v>98.2</v>
      </c>
      <c r="G43" s="121">
        <f t="shared" si="1"/>
        <v>1.9202941061441606E-2</v>
      </c>
      <c r="H43" s="116">
        <f>'FICHA DE CARACTERIZACION A 3.1'!M154</f>
        <v>152.19999999999999</v>
      </c>
      <c r="I43" s="121">
        <f t="shared" si="2"/>
        <v>1.8954394879075458E-2</v>
      </c>
      <c r="J43" s="116">
        <f t="shared" si="3"/>
        <v>294.60000000000002</v>
      </c>
      <c r="K43" s="121">
        <f t="shared" si="4"/>
        <v>1.9170950738595677E-2</v>
      </c>
    </row>
    <row r="44" spans="1:11" ht="24.75" customHeight="1" thickBot="1" x14ac:dyDescent="0.35">
      <c r="A44" s="209"/>
      <c r="B44" s="215" t="s">
        <v>38</v>
      </c>
      <c r="C44" s="216"/>
      <c r="D44" s="116">
        <f>'FICHA DE CARACTERIZACION A 3.1'!M47</f>
        <v>45.2</v>
      </c>
      <c r="E44" s="121">
        <f t="shared" si="0"/>
        <v>2.0329225510479443E-2</v>
      </c>
      <c r="F44" s="116">
        <f>'FICHA DE CARACTERIZACION A 3.1'!M101</f>
        <v>99.2</v>
      </c>
      <c r="G44" s="121">
        <f t="shared" si="1"/>
        <v>1.9398490359419627E-2</v>
      </c>
      <c r="H44" s="116">
        <f>'FICHA DE CARACTERIZACION A 3.1'!M155</f>
        <v>153.19999999999999</v>
      </c>
      <c r="I44" s="121">
        <f t="shared" si="2"/>
        <v>1.9078930982091721E-2</v>
      </c>
      <c r="J44" s="116">
        <f t="shared" si="3"/>
        <v>297.60000000000002</v>
      </c>
      <c r="K44" s="121">
        <f t="shared" si="4"/>
        <v>1.9366174269538607E-2</v>
      </c>
    </row>
    <row r="45" spans="1:11" ht="24.75" customHeight="1" thickBot="1" x14ac:dyDescent="0.35">
      <c r="A45" s="210"/>
      <c r="B45" s="195" t="s">
        <v>41</v>
      </c>
      <c r="C45" s="196"/>
      <c r="D45" s="116">
        <f>'FICHA DE CARACTERIZACION A 3.1'!M48</f>
        <v>46.2</v>
      </c>
      <c r="E45" s="121">
        <f t="shared" si="0"/>
        <v>2.0778987136817483E-2</v>
      </c>
      <c r="F45" s="116">
        <f>'FICHA DE CARACTERIZACION A 3.1'!M102</f>
        <v>100.2</v>
      </c>
      <c r="G45" s="121">
        <f t="shared" si="1"/>
        <v>1.9594039657397647E-2</v>
      </c>
      <c r="H45" s="116">
        <f>'FICHA DE CARACTERIZACION A 3.1'!M156</f>
        <v>154.19999999999999</v>
      </c>
      <c r="I45" s="121">
        <f t="shared" si="2"/>
        <v>1.9203467085107985E-2</v>
      </c>
      <c r="J45" s="116">
        <f t="shared" si="3"/>
        <v>300.60000000000002</v>
      </c>
      <c r="K45" s="121">
        <f t="shared" si="4"/>
        <v>1.9561397800481536E-2</v>
      </c>
    </row>
    <row r="46" spans="1:11" ht="24.75" customHeight="1" thickBot="1" x14ac:dyDescent="0.35">
      <c r="A46" s="199" t="s">
        <v>39</v>
      </c>
      <c r="B46" s="195" t="s">
        <v>66</v>
      </c>
      <c r="C46" s="196"/>
      <c r="D46" s="116">
        <f>'FICHA DE CARACTERIZACION A 3.1'!M49</f>
        <v>47.2</v>
      </c>
      <c r="E46" s="121">
        <f t="shared" si="0"/>
        <v>2.1228748763155524E-2</v>
      </c>
      <c r="F46" s="116">
        <f>'FICHA DE CARACTERIZACION A 3.1'!M103</f>
        <v>101.2</v>
      </c>
      <c r="G46" s="121">
        <f t="shared" si="1"/>
        <v>1.9789588955375668E-2</v>
      </c>
      <c r="H46" s="116">
        <f>'FICHA DE CARACTERIZACION A 3.1'!M157</f>
        <v>155.19999999999999</v>
      </c>
      <c r="I46" s="121">
        <f t="shared" si="2"/>
        <v>1.9328003188124252E-2</v>
      </c>
      <c r="J46" s="116">
        <f t="shared" si="3"/>
        <v>303.60000000000002</v>
      </c>
      <c r="K46" s="121">
        <f t="shared" si="4"/>
        <v>1.9756621331424466E-2</v>
      </c>
    </row>
    <row r="47" spans="1:11" ht="24.75" customHeight="1" thickBot="1" x14ac:dyDescent="0.35">
      <c r="A47" s="199"/>
      <c r="B47" s="195" t="s">
        <v>67</v>
      </c>
      <c r="C47" s="196"/>
      <c r="D47" s="116">
        <f>'FICHA DE CARACTERIZACION A 3.1'!M50</f>
        <v>48.2</v>
      </c>
      <c r="E47" s="121">
        <f t="shared" si="0"/>
        <v>2.1678510389493564E-2</v>
      </c>
      <c r="F47" s="116">
        <f>'FICHA DE CARACTERIZACION A 3.1'!M104</f>
        <v>102.2</v>
      </c>
      <c r="G47" s="121">
        <f t="shared" si="1"/>
        <v>1.9985138253353688E-2</v>
      </c>
      <c r="H47" s="116">
        <f>'FICHA DE CARACTERIZACION A 3.1'!M158</f>
        <v>156.19999999999999</v>
      </c>
      <c r="I47" s="121">
        <f t="shared" si="2"/>
        <v>1.9452539291140516E-2</v>
      </c>
      <c r="J47" s="116">
        <f t="shared" si="3"/>
        <v>306.60000000000002</v>
      </c>
      <c r="K47" s="121">
        <f t="shared" si="4"/>
        <v>1.9951844862367396E-2</v>
      </c>
    </row>
    <row r="48" spans="1:11" ht="24.75" customHeight="1" thickBot="1" x14ac:dyDescent="0.35">
      <c r="A48" s="199"/>
      <c r="B48" s="195" t="s">
        <v>68</v>
      </c>
      <c r="C48" s="196"/>
      <c r="D48" s="116">
        <f>'FICHA DE CARACTERIZACION A 3.1'!M51</f>
        <v>49.2</v>
      </c>
      <c r="E48" s="121">
        <f t="shared" si="0"/>
        <v>2.2128272015831604E-2</v>
      </c>
      <c r="F48" s="116">
        <f>'FICHA DE CARACTERIZACION A 3.1'!M105</f>
        <v>103.2</v>
      </c>
      <c r="G48" s="121">
        <f t="shared" si="1"/>
        <v>2.0180687551331709E-2</v>
      </c>
      <c r="H48" s="116">
        <f>'FICHA DE CARACTERIZACION A 3.1'!M159</f>
        <v>157.19999999999999</v>
      </c>
      <c r="I48" s="121">
        <f t="shared" si="2"/>
        <v>1.9577075394156779E-2</v>
      </c>
      <c r="J48" s="116">
        <f t="shared" si="3"/>
        <v>309.60000000000002</v>
      </c>
      <c r="K48" s="121">
        <f t="shared" si="4"/>
        <v>2.0147068393310326E-2</v>
      </c>
    </row>
    <row r="49" spans="1:11" ht="24.75" customHeight="1" thickBot="1" x14ac:dyDescent="0.35">
      <c r="A49" s="199"/>
      <c r="B49" s="195" t="s">
        <v>81</v>
      </c>
      <c r="C49" s="196"/>
      <c r="D49" s="116">
        <f>'FICHA DE CARACTERIZACION A 3.1'!M52</f>
        <v>50.2</v>
      </c>
      <c r="E49" s="121">
        <f t="shared" si="0"/>
        <v>2.2578033642169645E-2</v>
      </c>
      <c r="F49" s="116">
        <f>'FICHA DE CARACTERIZACION A 3.1'!M106</f>
        <v>104.2</v>
      </c>
      <c r="G49" s="121">
        <f t="shared" si="1"/>
        <v>2.0376236849309729E-2</v>
      </c>
      <c r="H49" s="116">
        <f>'FICHA DE CARACTERIZACION A 3.1'!M160</f>
        <v>158.19999999999999</v>
      </c>
      <c r="I49" s="121">
        <f t="shared" si="2"/>
        <v>1.9701611497173043E-2</v>
      </c>
      <c r="J49" s="116">
        <f t="shared" si="3"/>
        <v>312.60000000000002</v>
      </c>
      <c r="K49" s="121">
        <f t="shared" si="4"/>
        <v>2.0342291924253256E-2</v>
      </c>
    </row>
    <row r="50" spans="1:11" ht="24.75" customHeight="1" thickBot="1" x14ac:dyDescent="0.35">
      <c r="A50" s="199"/>
      <c r="B50" s="195" t="s">
        <v>69</v>
      </c>
      <c r="C50" s="196"/>
      <c r="D50" s="116">
        <f>'FICHA DE CARACTERIZACION A 3.1'!M53</f>
        <v>51.2</v>
      </c>
      <c r="E50" s="121">
        <f t="shared" si="0"/>
        <v>2.3027795268507685E-2</v>
      </c>
      <c r="F50" s="116">
        <f>'FICHA DE CARACTERIZACION A 3.1'!M107</f>
        <v>105.2</v>
      </c>
      <c r="G50" s="121">
        <f t="shared" si="1"/>
        <v>2.057178614728775E-2</v>
      </c>
      <c r="H50" s="116">
        <f>'FICHA DE CARACTERIZACION A 3.1'!M161</f>
        <v>159.19999999999999</v>
      </c>
      <c r="I50" s="121">
        <f t="shared" si="2"/>
        <v>1.982614760018931E-2</v>
      </c>
      <c r="J50" s="116">
        <f t="shared" si="3"/>
        <v>315.60000000000002</v>
      </c>
      <c r="K50" s="121">
        <f t="shared" si="4"/>
        <v>2.0537515455196186E-2</v>
      </c>
    </row>
    <row r="51" spans="1:11" ht="24.75" customHeight="1" thickBot="1" x14ac:dyDescent="0.35">
      <c r="A51" s="199"/>
      <c r="B51" s="195" t="s">
        <v>71</v>
      </c>
      <c r="C51" s="196"/>
      <c r="D51" s="116">
        <f>'FICHA DE CARACTERIZACION A 3.1'!M54</f>
        <v>52.2</v>
      </c>
      <c r="E51" s="121">
        <f t="shared" si="0"/>
        <v>2.3477556894845729E-2</v>
      </c>
      <c r="F51" s="116">
        <f>'FICHA DE CARACTERIZACION A 3.1'!M108</f>
        <v>106.2</v>
      </c>
      <c r="G51" s="121">
        <f t="shared" si="1"/>
        <v>2.076733544526577E-2</v>
      </c>
      <c r="H51" s="116">
        <f>'FICHA DE CARACTERIZACION A 3.1'!M162</f>
        <v>160.19999999999999</v>
      </c>
      <c r="I51" s="121">
        <f t="shared" si="2"/>
        <v>1.9950683703205574E-2</v>
      </c>
      <c r="J51" s="116">
        <f t="shared" si="3"/>
        <v>318.60000000000002</v>
      </c>
      <c r="K51" s="121">
        <f t="shared" si="4"/>
        <v>2.0732738986139112E-2</v>
      </c>
    </row>
    <row r="52" spans="1:11" ht="24.75" customHeight="1" thickBot="1" x14ac:dyDescent="0.35">
      <c r="A52" s="199"/>
      <c r="B52" s="195" t="s">
        <v>72</v>
      </c>
      <c r="C52" s="196"/>
      <c r="D52" s="116">
        <f>'FICHA DE CARACTERIZACION A 3.1'!M55</f>
        <v>53.2</v>
      </c>
      <c r="E52" s="121">
        <f t="shared" si="0"/>
        <v>2.3927318521183769E-2</v>
      </c>
      <c r="F52" s="116">
        <f>'FICHA DE CARACTERIZACION A 3.1'!M109</f>
        <v>107.2</v>
      </c>
      <c r="G52" s="121">
        <f t="shared" si="1"/>
        <v>2.0962884743243791E-2</v>
      </c>
      <c r="H52" s="116">
        <f>'FICHA DE CARACTERIZACION A 3.1'!M163</f>
        <v>161.19999999999999</v>
      </c>
      <c r="I52" s="121">
        <f t="shared" si="2"/>
        <v>2.0075219806221838E-2</v>
      </c>
      <c r="J52" s="116">
        <f t="shared" si="3"/>
        <v>321.60000000000002</v>
      </c>
      <c r="K52" s="121">
        <f t="shared" si="4"/>
        <v>2.0927962517082042E-2</v>
      </c>
    </row>
    <row r="53" spans="1:11" ht="24.75" customHeight="1" thickBot="1" x14ac:dyDescent="0.35">
      <c r="A53" s="30" t="s">
        <v>84</v>
      </c>
      <c r="B53" s="195" t="s">
        <v>70</v>
      </c>
      <c r="C53" s="196"/>
      <c r="D53" s="116">
        <f>'FICHA DE CARACTERIZACION A 3.1'!M56</f>
        <v>54.2</v>
      </c>
      <c r="E53" s="121">
        <f t="shared" si="0"/>
        <v>2.437708014752181E-2</v>
      </c>
      <c r="F53" s="116">
        <f>'FICHA DE CARACTERIZACION A 3.1'!M110</f>
        <v>108.2</v>
      </c>
      <c r="G53" s="121">
        <f t="shared" si="1"/>
        <v>2.1158434041221811E-2</v>
      </c>
      <c r="H53" s="116">
        <f>'FICHA DE CARACTERIZACION A 3.1'!M164</f>
        <v>162.19999999999999</v>
      </c>
      <c r="I53" s="121">
        <f t="shared" si="2"/>
        <v>2.0199755909238101E-2</v>
      </c>
      <c r="J53" s="116">
        <f t="shared" si="3"/>
        <v>324.60000000000002</v>
      </c>
      <c r="K53" s="121">
        <f t="shared" si="4"/>
        <v>2.1123186048024972E-2</v>
      </c>
    </row>
    <row r="54" spans="1:11" ht="24.75" customHeight="1" thickBot="1" x14ac:dyDescent="0.35">
      <c r="A54" s="9" t="s">
        <v>40</v>
      </c>
      <c r="B54" s="197" t="s">
        <v>58</v>
      </c>
      <c r="C54" s="198"/>
      <c r="D54" s="116">
        <f>'FICHA DE CARACTERIZACION A 3.1'!M57</f>
        <v>55.2</v>
      </c>
      <c r="E54" s="121">
        <f t="shared" si="0"/>
        <v>2.482684177385985E-2</v>
      </c>
      <c r="F54" s="116">
        <f>'FICHA DE CARACTERIZACION A 3.1'!M111</f>
        <v>109.2</v>
      </c>
      <c r="G54" s="121">
        <f t="shared" si="1"/>
        <v>2.1353983339199831E-2</v>
      </c>
      <c r="H54" s="116">
        <f>'FICHA DE CARACTERIZACION A 3.1'!M165</f>
        <v>163.19999999999999</v>
      </c>
      <c r="I54" s="121">
        <f t="shared" si="2"/>
        <v>2.0324292012254368E-2</v>
      </c>
      <c r="J54" s="116">
        <f t="shared" si="3"/>
        <v>327.60000000000002</v>
      </c>
      <c r="K54" s="121">
        <f t="shared" si="4"/>
        <v>2.1318409578967901E-2</v>
      </c>
    </row>
    <row r="55" spans="1:11" ht="24.75" customHeight="1" thickBot="1" x14ac:dyDescent="0.35">
      <c r="A55" s="202" t="s">
        <v>73</v>
      </c>
      <c r="B55" s="193" t="s">
        <v>42</v>
      </c>
      <c r="C55" s="194"/>
      <c r="D55" s="116">
        <f>'FICHA DE CARACTERIZACION A 3.1'!M58</f>
        <v>56.2</v>
      </c>
      <c r="E55" s="121">
        <f t="shared" si="0"/>
        <v>2.527660340019789E-2</v>
      </c>
      <c r="F55" s="116">
        <f>'FICHA DE CARACTERIZACION A 3.1'!M112</f>
        <v>110.2</v>
      </c>
      <c r="G55" s="121">
        <f t="shared" si="1"/>
        <v>2.1549532637177852E-2</v>
      </c>
      <c r="H55" s="116">
        <f>'FICHA DE CARACTERIZACION A 3.1'!M166</f>
        <v>164.2</v>
      </c>
      <c r="I55" s="121">
        <f t="shared" si="2"/>
        <v>2.0448828115270632E-2</v>
      </c>
      <c r="J55" s="116">
        <f t="shared" si="3"/>
        <v>330.6</v>
      </c>
      <c r="K55" s="121">
        <f t="shared" si="4"/>
        <v>2.1513633109910831E-2</v>
      </c>
    </row>
    <row r="56" spans="1:11" ht="24.75" customHeight="1" thickBot="1" x14ac:dyDescent="0.35">
      <c r="A56" s="203"/>
      <c r="B56" s="204" t="s">
        <v>43</v>
      </c>
      <c r="C56" s="205"/>
      <c r="D56" s="116">
        <f>'FICHA DE CARACTERIZACION A 3.1'!M59</f>
        <v>57.2</v>
      </c>
      <c r="E56" s="121">
        <f t="shared" si="0"/>
        <v>2.5726365026535931E-2</v>
      </c>
      <c r="F56" s="116">
        <f>'FICHA DE CARACTERIZACION A 3.1'!M113</f>
        <v>111.2</v>
      </c>
      <c r="G56" s="121">
        <f t="shared" si="1"/>
        <v>2.1745081935155872E-2</v>
      </c>
      <c r="H56" s="116">
        <f>'FICHA DE CARACTERIZACION A 3.1'!M167</f>
        <v>165.2</v>
      </c>
      <c r="I56" s="121">
        <f t="shared" si="2"/>
        <v>2.0573364218286896E-2</v>
      </c>
      <c r="J56" s="116">
        <f t="shared" si="3"/>
        <v>333.6</v>
      </c>
      <c r="K56" s="121">
        <f t="shared" si="4"/>
        <v>2.1708856640853761E-2</v>
      </c>
    </row>
    <row r="57" spans="1:11" ht="24.75" customHeight="1" thickBot="1" x14ac:dyDescent="0.35">
      <c r="A57" s="24" t="s">
        <v>74</v>
      </c>
      <c r="B57" s="204" t="s">
        <v>44</v>
      </c>
      <c r="C57" s="205"/>
      <c r="D57" s="116">
        <f>'FICHA DE CARACTERIZACION A 3.1'!M60</f>
        <v>58.2</v>
      </c>
      <c r="E57" s="121">
        <f t="shared" si="0"/>
        <v>2.6176126652873971E-2</v>
      </c>
      <c r="F57" s="116">
        <f>'FICHA DE CARACTERIZACION A 3.1'!M114</f>
        <v>112.2</v>
      </c>
      <c r="G57" s="121">
        <f t="shared" si="1"/>
        <v>2.1940631233133893E-2</v>
      </c>
      <c r="H57" s="116">
        <f>'FICHA DE CARACTERIZACION A 3.1'!M168</f>
        <v>166.2</v>
      </c>
      <c r="I57" s="121">
        <f t="shared" si="2"/>
        <v>2.0697900321303159E-2</v>
      </c>
      <c r="J57" s="116">
        <f t="shared" si="3"/>
        <v>336.6</v>
      </c>
      <c r="K57" s="121">
        <f t="shared" si="4"/>
        <v>2.1904080171796691E-2</v>
      </c>
    </row>
    <row r="58" spans="1:11" ht="24.75" customHeight="1" thickBot="1" x14ac:dyDescent="0.35">
      <c r="A58" s="25" t="s">
        <v>75</v>
      </c>
      <c r="B58" s="204" t="s">
        <v>45</v>
      </c>
      <c r="C58" s="205"/>
      <c r="D58" s="116">
        <f>'FICHA DE CARACTERIZACION A 3.1'!M61</f>
        <v>59.2</v>
      </c>
      <c r="E58" s="121">
        <f t="shared" si="0"/>
        <v>2.6625888279212011E-2</v>
      </c>
      <c r="F58" s="116">
        <f>'FICHA DE CARACTERIZACION A 3.1'!M115</f>
        <v>113.2</v>
      </c>
      <c r="G58" s="121">
        <f t="shared" si="1"/>
        <v>2.2136180531111913E-2</v>
      </c>
      <c r="H58" s="116">
        <f>'FICHA DE CARACTERIZACION A 3.1'!M169</f>
        <v>167.2</v>
      </c>
      <c r="I58" s="121">
        <f t="shared" si="2"/>
        <v>2.0822436424319427E-2</v>
      </c>
      <c r="J58" s="116">
        <f t="shared" si="3"/>
        <v>339.6</v>
      </c>
      <c r="K58" s="121">
        <f t="shared" si="4"/>
        <v>2.2099303702739621E-2</v>
      </c>
    </row>
    <row r="59" spans="1:11" ht="24.75" customHeight="1" thickBot="1" x14ac:dyDescent="0.35">
      <c r="A59" s="220" t="s">
        <v>76</v>
      </c>
      <c r="B59" s="26" t="s">
        <v>48</v>
      </c>
      <c r="C59" s="27"/>
      <c r="D59" s="116">
        <f>'FICHA DE CARACTERIZACION A 3.1'!M62</f>
        <v>60.2</v>
      </c>
      <c r="E59" s="121">
        <f t="shared" si="0"/>
        <v>2.7075649905550052E-2</v>
      </c>
      <c r="F59" s="116">
        <f>'FICHA DE CARACTERIZACION A 3.1'!M116</f>
        <v>114.2</v>
      </c>
      <c r="G59" s="121">
        <f t="shared" si="1"/>
        <v>2.2331729829089934E-2</v>
      </c>
      <c r="H59" s="116">
        <f>'FICHA DE CARACTERIZACION A 3.1'!M170</f>
        <v>168.2</v>
      </c>
      <c r="I59" s="121">
        <f t="shared" si="2"/>
        <v>2.094697252733569E-2</v>
      </c>
      <c r="J59" s="116">
        <f t="shared" si="3"/>
        <v>342.6</v>
      </c>
      <c r="K59" s="121">
        <f t="shared" si="4"/>
        <v>2.229452723368255E-2</v>
      </c>
    </row>
    <row r="60" spans="1:11" ht="24.75" customHeight="1" thickBot="1" x14ac:dyDescent="0.35">
      <c r="A60" s="203"/>
      <c r="B60" s="26" t="s">
        <v>77</v>
      </c>
      <c r="C60" s="27"/>
      <c r="D60" s="116">
        <f>'FICHA DE CARACTERIZACION A 3.1'!M63</f>
        <v>61.2</v>
      </c>
      <c r="E60" s="121">
        <f t="shared" si="0"/>
        <v>2.7525411531888092E-2</v>
      </c>
      <c r="F60" s="116">
        <f>'FICHA DE CARACTERIZACION A 3.1'!M117</f>
        <v>115.2</v>
      </c>
      <c r="G60" s="121">
        <f t="shared" si="1"/>
        <v>2.2527279127067954E-2</v>
      </c>
      <c r="H60" s="116">
        <f>'FICHA DE CARACTERIZACION A 3.1'!M171</f>
        <v>169.2</v>
      </c>
      <c r="I60" s="121">
        <f t="shared" si="2"/>
        <v>2.1071508630351954E-2</v>
      </c>
      <c r="J60" s="116">
        <f t="shared" si="3"/>
        <v>345.6</v>
      </c>
      <c r="K60" s="121">
        <f t="shared" si="4"/>
        <v>2.248975076462548E-2</v>
      </c>
    </row>
    <row r="61" spans="1:11" ht="24.75" customHeight="1" thickBot="1" x14ac:dyDescent="0.35">
      <c r="A61" s="217" t="s">
        <v>41</v>
      </c>
      <c r="B61" s="193" t="s">
        <v>78</v>
      </c>
      <c r="C61" s="194"/>
      <c r="D61" s="116">
        <f>'FICHA DE CARACTERIZACION A 3.1'!M64</f>
        <v>62.2</v>
      </c>
      <c r="E61" s="121">
        <f t="shared" si="0"/>
        <v>2.7975173158226136E-2</v>
      </c>
      <c r="F61" s="116">
        <f>'FICHA DE CARACTERIZACION A 3.1'!M118</f>
        <v>116.2</v>
      </c>
      <c r="G61" s="121">
        <f t="shared" si="1"/>
        <v>2.2722828425045975E-2</v>
      </c>
      <c r="H61" s="116">
        <f>'FICHA DE CARACTERIZACION A 3.1'!M172</f>
        <v>170.2</v>
      </c>
      <c r="I61" s="121">
        <f t="shared" si="2"/>
        <v>2.1196044733368218E-2</v>
      </c>
      <c r="J61" s="116">
        <f t="shared" si="3"/>
        <v>348.6</v>
      </c>
      <c r="K61" s="121">
        <f t="shared" si="4"/>
        <v>2.268497429556841E-2</v>
      </c>
    </row>
    <row r="62" spans="1:11" ht="24.75" customHeight="1" thickBot="1" x14ac:dyDescent="0.35">
      <c r="A62" s="218"/>
      <c r="B62" s="204" t="s">
        <v>79</v>
      </c>
      <c r="C62" s="205"/>
      <c r="D62" s="116">
        <f>'FICHA DE CARACTERIZACION A 3.1'!M65</f>
        <v>63.2</v>
      </c>
      <c r="E62" s="121">
        <f t="shared" si="0"/>
        <v>2.8424934784564176E-2</v>
      </c>
      <c r="F62" s="116">
        <f>'FICHA DE CARACTERIZACION A 3.1'!M119</f>
        <v>117.2</v>
      </c>
      <c r="G62" s="121">
        <f t="shared" si="1"/>
        <v>2.2918377723023995E-2</v>
      </c>
      <c r="H62" s="116">
        <f>'FICHA DE CARACTERIZACION A 3.1'!M173</f>
        <v>171.2</v>
      </c>
      <c r="I62" s="121">
        <f t="shared" si="2"/>
        <v>2.1320580836384481E-2</v>
      </c>
      <c r="J62" s="116">
        <f t="shared" si="3"/>
        <v>351.6</v>
      </c>
      <c r="K62" s="121">
        <f t="shared" si="4"/>
        <v>2.2880197826511336E-2</v>
      </c>
    </row>
    <row r="63" spans="1:11" ht="24.75" customHeight="1" thickBot="1" x14ac:dyDescent="0.35">
      <c r="A63" s="218"/>
      <c r="B63" s="193" t="s">
        <v>46</v>
      </c>
      <c r="C63" s="194"/>
      <c r="D63" s="116">
        <f>'FICHA DE CARACTERIZACION A 3.1'!M66</f>
        <v>64.2</v>
      </c>
      <c r="E63" s="121">
        <f t="shared" si="0"/>
        <v>2.8874696410902217E-2</v>
      </c>
      <c r="F63" s="116">
        <f>'FICHA DE CARACTERIZACION A 3.1'!M120</f>
        <v>118.2</v>
      </c>
      <c r="G63" s="121">
        <f t="shared" si="1"/>
        <v>2.3113927021002015E-2</v>
      </c>
      <c r="H63" s="116">
        <f>'FICHA DE CARACTERIZACION A 3.1'!M174</f>
        <v>172.2</v>
      </c>
      <c r="I63" s="121">
        <f t="shared" si="2"/>
        <v>2.1445116939400748E-2</v>
      </c>
      <c r="J63" s="116">
        <f t="shared" si="3"/>
        <v>354.6</v>
      </c>
      <c r="K63" s="121">
        <f t="shared" si="4"/>
        <v>2.3075421357454266E-2</v>
      </c>
    </row>
    <row r="64" spans="1:11" ht="24.75" customHeight="1" thickBot="1" x14ac:dyDescent="0.35">
      <c r="A64" s="218"/>
      <c r="B64" s="193" t="s">
        <v>47</v>
      </c>
      <c r="C64" s="194"/>
      <c r="D64" s="116">
        <f>'FICHA DE CARACTERIZACION A 3.1'!M67</f>
        <v>65.2</v>
      </c>
      <c r="E64" s="121">
        <f t="shared" si="0"/>
        <v>2.9324458037240257E-2</v>
      </c>
      <c r="F64" s="116">
        <f>'FICHA DE CARACTERIZACION A 3.1'!M121</f>
        <v>119.2</v>
      </c>
      <c r="G64" s="121">
        <f t="shared" si="1"/>
        <v>2.3309476318980036E-2</v>
      </c>
      <c r="H64" s="116">
        <f>'FICHA DE CARACTERIZACION A 3.1'!M175</f>
        <v>173.2</v>
      </c>
      <c r="I64" s="121">
        <f t="shared" si="2"/>
        <v>2.1569653042417012E-2</v>
      </c>
      <c r="J64" s="116">
        <f t="shared" si="3"/>
        <v>357.6</v>
      </c>
      <c r="K64" s="121">
        <f t="shared" si="4"/>
        <v>2.3270644888397196E-2</v>
      </c>
    </row>
    <row r="65" spans="1:11" ht="24.75" customHeight="1" thickBot="1" x14ac:dyDescent="0.35">
      <c r="A65" s="218"/>
      <c r="B65" s="7" t="s">
        <v>49</v>
      </c>
      <c r="C65" s="19"/>
      <c r="D65" s="116">
        <f>'FICHA DE CARACTERIZACION A 3.1'!M68</f>
        <v>66.2</v>
      </c>
      <c r="E65" s="121">
        <f t="shared" si="0"/>
        <v>2.9774219663578298E-2</v>
      </c>
      <c r="F65" s="116">
        <f>'FICHA DE CARACTERIZACION A 3.1'!M122</f>
        <v>120.2</v>
      </c>
      <c r="G65" s="121">
        <f t="shared" si="1"/>
        <v>2.3505025616958056E-2</v>
      </c>
      <c r="H65" s="116">
        <f>'FICHA DE CARACTERIZACION A 3.1'!M176</f>
        <v>174.2</v>
      </c>
      <c r="I65" s="121">
        <f t="shared" si="2"/>
        <v>2.1694189145433276E-2</v>
      </c>
      <c r="J65" s="116">
        <f t="shared" si="3"/>
        <v>360.6</v>
      </c>
      <c r="K65" s="121">
        <f t="shared" si="4"/>
        <v>2.3465868419340126E-2</v>
      </c>
    </row>
    <row r="66" spans="1:11" ht="24.75" customHeight="1" thickBot="1" x14ac:dyDescent="0.35">
      <c r="A66" s="219"/>
      <c r="B66" s="204" t="s">
        <v>80</v>
      </c>
      <c r="C66" s="205"/>
      <c r="D66" s="116">
        <f>'FICHA DE CARACTERIZACION A 3.1'!M69</f>
        <v>67.2</v>
      </c>
      <c r="E66" s="121">
        <f t="shared" si="0"/>
        <v>3.0223981289916338E-2</v>
      </c>
      <c r="F66" s="116">
        <f>'FICHA DE CARACTERIZACION A 3.1'!M123</f>
        <v>121.2</v>
      </c>
      <c r="G66" s="121">
        <f t="shared" si="1"/>
        <v>2.3700574914936077E-2</v>
      </c>
      <c r="H66" s="116">
        <f>'FICHA DE CARACTERIZACION A 3.1'!M177</f>
        <v>175.2</v>
      </c>
      <c r="I66" s="121">
        <f t="shared" si="2"/>
        <v>2.1818725248449539E-2</v>
      </c>
      <c r="J66" s="116">
        <f t="shared" si="3"/>
        <v>363.6</v>
      </c>
      <c r="K66" s="121">
        <f t="shared" si="4"/>
        <v>2.3661091950283056E-2</v>
      </c>
    </row>
    <row r="67" spans="1:11" ht="24.75" customHeight="1" thickBot="1" x14ac:dyDescent="0.35">
      <c r="A67" s="206" t="s">
        <v>50</v>
      </c>
      <c r="B67" s="207"/>
      <c r="C67" s="207"/>
      <c r="D67" s="122">
        <f t="shared" ref="D67:K67" si="5">SUM(D13:D66)</f>
        <v>2223.4000000000005</v>
      </c>
      <c r="E67" s="123">
        <f t="shared" si="5"/>
        <v>0.99999999999999978</v>
      </c>
      <c r="F67" s="122">
        <f t="shared" si="5"/>
        <v>5113.7999999999956</v>
      </c>
      <c r="G67" s="123">
        <f t="shared" si="5"/>
        <v>1.0000000000000013</v>
      </c>
      <c r="H67" s="122">
        <f t="shared" si="5"/>
        <v>8029.7999999999938</v>
      </c>
      <c r="I67" s="123">
        <f t="shared" si="5"/>
        <v>1.0000000000000004</v>
      </c>
      <c r="J67" s="122">
        <f t="shared" si="5"/>
        <v>15367.000000000013</v>
      </c>
      <c r="K67" s="123">
        <f t="shared" si="5"/>
        <v>0.99999999999999922</v>
      </c>
    </row>
    <row r="70" spans="1:11" ht="24.75" customHeight="1" x14ac:dyDescent="0.3">
      <c r="A70" s="10"/>
    </row>
    <row r="71" spans="1:11" ht="24.75" customHeight="1" x14ac:dyDescent="0.3">
      <c r="A71" s="11" t="s">
        <v>53</v>
      </c>
      <c r="B71" s="12"/>
      <c r="C71" s="12"/>
      <c r="D71" s="118"/>
      <c r="E71" s="12"/>
      <c r="F71" s="12"/>
      <c r="G71" s="12"/>
      <c r="H71" s="12"/>
      <c r="I71" s="12"/>
      <c r="J71" s="12"/>
      <c r="K71" s="12"/>
    </row>
    <row r="72" spans="1:11" ht="24.75" customHeight="1" x14ac:dyDescent="0.3">
      <c r="A72" s="13" t="s">
        <v>54</v>
      </c>
      <c r="B72" s="12"/>
      <c r="C72" s="12"/>
      <c r="D72" s="118"/>
      <c r="E72" s="12"/>
      <c r="F72" s="12"/>
      <c r="G72" s="12"/>
      <c r="H72" s="12"/>
      <c r="I72" s="12"/>
      <c r="J72" s="12"/>
      <c r="K72" s="12"/>
    </row>
    <row r="73" spans="1:11" ht="24.75" customHeight="1" x14ac:dyDescent="0.3">
      <c r="A73" s="11" t="s">
        <v>55</v>
      </c>
      <c r="B73" s="12"/>
      <c r="C73" s="12"/>
      <c r="D73" s="118"/>
      <c r="E73" s="12"/>
      <c r="F73" s="12"/>
      <c r="G73" s="12"/>
      <c r="H73" s="12"/>
      <c r="I73" s="12"/>
      <c r="J73" s="12"/>
      <c r="K73" s="12"/>
    </row>
    <row r="74" spans="1:11" ht="24.75" customHeight="1" x14ac:dyDescent="0.3">
      <c r="A74" s="11" t="s">
        <v>56</v>
      </c>
      <c r="B74" s="12"/>
      <c r="C74" s="12"/>
      <c r="D74" s="118"/>
      <c r="E74" s="12"/>
      <c r="F74" s="12"/>
      <c r="G74" s="12"/>
      <c r="H74" s="12"/>
      <c r="I74" s="12"/>
      <c r="J74" s="12"/>
      <c r="K74" s="12"/>
    </row>
    <row r="75" spans="1:11" ht="24.75" customHeight="1" x14ac:dyDescent="0.3">
      <c r="A75" s="13" t="s">
        <v>57</v>
      </c>
      <c r="B75" s="12"/>
      <c r="C75" s="12"/>
      <c r="D75" s="118"/>
      <c r="E75" s="12"/>
      <c r="F75" s="12"/>
      <c r="G75" s="12"/>
      <c r="H75" s="12"/>
      <c r="I75" s="12"/>
      <c r="J75" s="12"/>
      <c r="K75" s="12"/>
    </row>
    <row r="76" spans="1:11" ht="24.75" customHeight="1" x14ac:dyDescent="0.3">
      <c r="A76" s="12"/>
      <c r="B76" s="12"/>
      <c r="C76" s="12"/>
      <c r="D76" s="118"/>
      <c r="E76" s="12"/>
      <c r="F76" s="12"/>
      <c r="G76" s="12"/>
      <c r="H76" s="12"/>
      <c r="I76" s="12"/>
      <c r="J76" s="12"/>
      <c r="K76" s="12"/>
    </row>
  </sheetData>
  <mergeCells count="58">
    <mergeCell ref="A67:C67"/>
    <mergeCell ref="A41:A45"/>
    <mergeCell ref="B41:C41"/>
    <mergeCell ref="B42:C42"/>
    <mergeCell ref="B44:C44"/>
    <mergeCell ref="B45:C45"/>
    <mergeCell ref="B64:C64"/>
    <mergeCell ref="B66:C66"/>
    <mergeCell ref="A61:A66"/>
    <mergeCell ref="B61:C61"/>
    <mergeCell ref="B62:C62"/>
    <mergeCell ref="B55:C55"/>
    <mergeCell ref="B56:C56"/>
    <mergeCell ref="A59:A60"/>
    <mergeCell ref="B57:C57"/>
    <mergeCell ref="A23:B24"/>
    <mergeCell ref="B63:C63"/>
    <mergeCell ref="B51:C51"/>
    <mergeCell ref="B54:C54"/>
    <mergeCell ref="A46:A52"/>
    <mergeCell ref="B46:C46"/>
    <mergeCell ref="B47:C47"/>
    <mergeCell ref="B48:C48"/>
    <mergeCell ref="A25:A40"/>
    <mergeCell ref="B49:C49"/>
    <mergeCell ref="B50:C50"/>
    <mergeCell ref="B53:C53"/>
    <mergeCell ref="B52:C52"/>
    <mergeCell ref="A55:A56"/>
    <mergeCell ref="B58:C58"/>
    <mergeCell ref="A1:K1"/>
    <mergeCell ref="A2:K2"/>
    <mergeCell ref="A4:C4"/>
    <mergeCell ref="H4:J4"/>
    <mergeCell ref="A5:C5"/>
    <mergeCell ref="H5:J5"/>
    <mergeCell ref="A3:C3"/>
    <mergeCell ref="A6:C6"/>
    <mergeCell ref="H6:J6"/>
    <mergeCell ref="A8:C8"/>
    <mergeCell ref="H8:J8"/>
    <mergeCell ref="A9:C9"/>
    <mergeCell ref="H9:J9"/>
    <mergeCell ref="A7:B7"/>
    <mergeCell ref="H7:J7"/>
    <mergeCell ref="A21:A22"/>
    <mergeCell ref="B21:B22"/>
    <mergeCell ref="A17:B18"/>
    <mergeCell ref="A10:K10"/>
    <mergeCell ref="A11:C12"/>
    <mergeCell ref="D11:E11"/>
    <mergeCell ref="H11:I11"/>
    <mergeCell ref="J11:K11"/>
    <mergeCell ref="A13:A15"/>
    <mergeCell ref="F11:G11"/>
    <mergeCell ref="A16:C16"/>
    <mergeCell ref="A19:A20"/>
    <mergeCell ref="B19:B20"/>
  </mergeCells>
  <hyperlinks>
    <hyperlink ref="A72" r:id="rId1"/>
    <hyperlink ref="A75" r:id="rId2"/>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2"/>
  <sheetViews>
    <sheetView workbookViewId="0">
      <selection activeCell="I16" sqref="I16"/>
    </sheetView>
  </sheetViews>
  <sheetFormatPr baseColWidth="10" defaultColWidth="14.44140625" defaultRowHeight="14.4" x14ac:dyDescent="0.3"/>
  <cols>
    <col min="1" max="1" width="8.88671875" style="125" bestFit="1" customWidth="1"/>
    <col min="2" max="2" width="6.33203125" style="125" bestFit="1" customWidth="1"/>
    <col min="3" max="3" width="12.44140625" style="125" bestFit="1" customWidth="1"/>
    <col min="4" max="4" width="14.5546875" style="125" bestFit="1" customWidth="1"/>
    <col min="5" max="5" width="13.5546875" style="125" bestFit="1" customWidth="1"/>
    <col min="6" max="6" width="11.6640625" style="125" bestFit="1" customWidth="1"/>
    <col min="7" max="7" width="11.33203125" style="125" bestFit="1" customWidth="1"/>
    <col min="8" max="8" width="12.6640625" style="125" bestFit="1" customWidth="1"/>
    <col min="9" max="9" width="14.44140625" style="125"/>
    <col min="10" max="10" width="12.88671875" style="125" bestFit="1" customWidth="1"/>
    <col min="11" max="11" width="13.5546875" style="125" bestFit="1" customWidth="1"/>
    <col min="12" max="12" width="13.44140625" style="125" bestFit="1" customWidth="1"/>
    <col min="13" max="13" width="12.5546875" style="125" bestFit="1" customWidth="1"/>
    <col min="14" max="14" width="16.88671875" style="125" bestFit="1" customWidth="1"/>
    <col min="15" max="15" width="11.88671875" style="126" bestFit="1" customWidth="1"/>
    <col min="16" max="16" width="10.109375" style="125" bestFit="1" customWidth="1"/>
    <col min="17" max="17" width="11.88671875" style="125" bestFit="1" customWidth="1"/>
    <col min="18" max="18" width="11.33203125" style="125" bestFit="1" customWidth="1"/>
    <col min="19" max="19" width="14.109375" style="125" bestFit="1" customWidth="1"/>
    <col min="20" max="20" width="10" style="125" bestFit="1" customWidth="1"/>
    <col min="21" max="21" width="15.44140625" style="125" bestFit="1" customWidth="1"/>
    <col min="22" max="22" width="14.44140625" style="125"/>
    <col min="23" max="23" width="9.5546875" style="125" bestFit="1" customWidth="1"/>
    <col min="24" max="24" width="12.33203125" style="125" bestFit="1" customWidth="1"/>
    <col min="25" max="25" width="9.33203125" style="125" bestFit="1" customWidth="1"/>
    <col min="26" max="26" width="11.33203125" style="125" bestFit="1" customWidth="1"/>
    <col min="27" max="28" width="13" style="125" bestFit="1" customWidth="1"/>
    <col min="29" max="29" width="12.5546875" style="125" bestFit="1" customWidth="1"/>
    <col min="30" max="31" width="14.44140625" style="125"/>
    <col min="32" max="32" width="12.109375" style="125" bestFit="1" customWidth="1"/>
    <col min="33" max="33" width="11.88671875" style="125" bestFit="1" customWidth="1"/>
    <col min="34" max="34" width="13.6640625" style="125" bestFit="1" customWidth="1"/>
    <col min="35" max="35" width="13" style="125" bestFit="1" customWidth="1"/>
    <col min="36" max="37" width="12.88671875" style="125" bestFit="1" customWidth="1"/>
    <col min="38" max="38" width="13.33203125" style="125" bestFit="1" customWidth="1"/>
    <col min="39" max="39" width="10.6640625" style="125" bestFit="1" customWidth="1"/>
    <col min="40" max="40" width="11.5546875" style="130" bestFit="1" customWidth="1"/>
    <col min="41" max="41" width="7.5546875" style="130" bestFit="1" customWidth="1"/>
    <col min="42" max="42" width="8.44140625" style="130" bestFit="1" customWidth="1"/>
    <col min="43" max="43" width="10.109375" style="130" bestFit="1" customWidth="1"/>
    <col min="44" max="44" width="12.88671875" style="130" bestFit="1" customWidth="1"/>
    <col min="45" max="45" width="9.6640625" style="130" bestFit="1" customWidth="1"/>
    <col min="46" max="47" width="14.44140625" style="130"/>
    <col min="48" max="48" width="14.109375" style="130" bestFit="1" customWidth="1"/>
    <col min="49" max="49" width="9" style="130" bestFit="1" customWidth="1"/>
    <col min="50" max="50" width="10.88671875" style="130" bestFit="1" customWidth="1"/>
    <col min="51" max="51" width="10.109375" style="130" bestFit="1" customWidth="1"/>
    <col min="52" max="53" width="10" style="130" bestFit="1" customWidth="1"/>
    <col min="54" max="54" width="10.44140625" style="130" bestFit="1" customWidth="1"/>
    <col min="55" max="55" width="7.88671875" style="130" bestFit="1" customWidth="1"/>
    <col min="56" max="56" width="13.88671875" style="125" bestFit="1" customWidth="1"/>
    <col min="57" max="57" width="13.33203125" style="125" bestFit="1" customWidth="1"/>
    <col min="58" max="58" width="14" style="125" bestFit="1" customWidth="1"/>
    <col min="59" max="59" width="11.33203125" style="125" bestFit="1" customWidth="1"/>
    <col min="60" max="60" width="12.5546875" style="125" bestFit="1" customWidth="1"/>
    <col min="61" max="61" width="11.33203125" style="125" bestFit="1" customWidth="1"/>
    <col min="62" max="63" width="13.88671875" style="125" bestFit="1" customWidth="1"/>
    <col min="64" max="64" width="14" style="125" bestFit="1" customWidth="1"/>
    <col min="65" max="65" width="11.33203125" style="125" bestFit="1" customWidth="1"/>
    <col min="66" max="66" width="13.44140625" style="125" bestFit="1" customWidth="1"/>
    <col min="67" max="67" width="11.33203125" style="125" bestFit="1" customWidth="1"/>
    <col min="68" max="68" width="12.44140625" style="125" bestFit="1" customWidth="1"/>
    <col min="69" max="69" width="12.5546875" style="125" bestFit="1" customWidth="1"/>
    <col min="70" max="70" width="12.44140625" style="125" bestFit="1" customWidth="1"/>
    <col min="71" max="71" width="13.44140625" style="125" bestFit="1" customWidth="1"/>
    <col min="72" max="72" width="12.44140625" style="125" bestFit="1" customWidth="1"/>
    <col min="73" max="73" width="13.44140625" style="125" bestFit="1" customWidth="1"/>
    <col min="74" max="77" width="12.44140625" style="125" bestFit="1" customWidth="1"/>
    <col min="78" max="79" width="13.5546875" style="125" bestFit="1" customWidth="1"/>
    <col min="80" max="81" width="12.44140625" style="125" bestFit="1" customWidth="1"/>
    <col min="82" max="83" width="13.109375" style="125" bestFit="1" customWidth="1"/>
    <col min="84" max="84" width="18.44140625" style="125" bestFit="1" customWidth="1"/>
    <col min="85" max="85" width="21.6640625" style="125" bestFit="1" customWidth="1"/>
    <col min="86" max="86" width="13.33203125" style="125" bestFit="1" customWidth="1"/>
    <col min="87" max="87" width="14" style="125" bestFit="1" customWidth="1"/>
    <col min="88" max="88" width="13" style="125" bestFit="1" customWidth="1"/>
    <col min="89" max="89" width="16.88671875" style="125" bestFit="1" customWidth="1"/>
    <col min="90" max="90" width="11.33203125" style="125" bestFit="1" customWidth="1"/>
    <col min="91" max="91" width="14" style="125" bestFit="1" customWidth="1"/>
    <col min="92" max="92" width="21.5546875" style="125" bestFit="1" customWidth="1"/>
    <col min="93" max="93" width="22.109375" style="125" bestFit="1" customWidth="1"/>
    <col min="94" max="94" width="13.88671875" style="125" bestFit="1" customWidth="1"/>
    <col min="95" max="95" width="12.88671875" style="125" bestFit="1" customWidth="1"/>
    <col min="96" max="96" width="13.5546875" style="125" bestFit="1" customWidth="1"/>
    <col min="97" max="97" width="11.88671875" style="125" bestFit="1" customWidth="1"/>
    <col min="98" max="98" width="13.33203125" style="125" bestFit="1" customWidth="1"/>
    <col min="99" max="99" width="14.44140625" style="125"/>
    <col min="100" max="100" width="13.44140625" style="125" bestFit="1" customWidth="1"/>
    <col min="101" max="101" width="11.33203125" style="125" bestFit="1" customWidth="1"/>
    <col min="102" max="102" width="12.33203125" style="125" bestFit="1" customWidth="1"/>
    <col min="103" max="103" width="13.44140625" style="125" bestFit="1" customWidth="1"/>
    <col min="104" max="104" width="12.6640625" style="125" bestFit="1" customWidth="1"/>
    <col min="105" max="105" width="14.109375" style="125" bestFit="1" customWidth="1"/>
    <col min="106" max="106" width="13.88671875" style="125" bestFit="1" customWidth="1"/>
    <col min="107" max="107" width="14.44140625" style="125"/>
    <col min="108" max="108" width="11.6640625" style="125" bestFit="1" customWidth="1"/>
    <col min="109" max="109" width="13.6640625" style="125" bestFit="1" customWidth="1"/>
    <col min="110" max="110" width="13.88671875" style="125" bestFit="1" customWidth="1"/>
    <col min="111" max="111" width="13.33203125" style="125" bestFit="1" customWidth="1"/>
    <col min="112" max="112" width="14" style="125" bestFit="1" customWidth="1"/>
    <col min="113" max="113" width="11.6640625" style="125" bestFit="1" customWidth="1"/>
    <col min="114" max="114" width="12.5546875" style="125" bestFit="1" customWidth="1"/>
    <col min="115" max="115" width="11.6640625" style="125" bestFit="1" customWidth="1"/>
    <col min="116" max="117" width="13.88671875" style="125" bestFit="1" customWidth="1"/>
    <col min="118" max="118" width="14" style="125" bestFit="1" customWidth="1"/>
    <col min="119" max="119" width="11.6640625" style="125" bestFit="1" customWidth="1"/>
    <col min="120" max="120" width="13.44140625" style="125" bestFit="1" customWidth="1"/>
    <col min="121" max="121" width="11.6640625" style="125" bestFit="1" customWidth="1"/>
    <col min="122" max="122" width="12.44140625" style="125" bestFit="1" customWidth="1"/>
    <col min="123" max="123" width="12.5546875" style="125" bestFit="1" customWidth="1"/>
    <col min="124" max="124" width="12.44140625" style="125" bestFit="1" customWidth="1"/>
    <col min="125" max="125" width="13.44140625" style="125" bestFit="1" customWidth="1"/>
    <col min="126" max="126" width="12.44140625" style="125" bestFit="1" customWidth="1"/>
    <col min="127" max="127" width="13.44140625" style="125" bestFit="1" customWidth="1"/>
    <col min="128" max="131" width="12.44140625" style="125" bestFit="1" customWidth="1"/>
    <col min="132" max="133" width="13.5546875" style="125" bestFit="1" customWidth="1"/>
    <col min="134" max="135" width="12.44140625" style="125" bestFit="1" customWidth="1"/>
    <col min="136" max="137" width="13.109375" style="125" bestFit="1" customWidth="1"/>
    <col min="138" max="138" width="18.44140625" style="125" bestFit="1" customWidth="1"/>
    <col min="139" max="139" width="21.6640625" style="125" bestFit="1" customWidth="1"/>
    <col min="140" max="140" width="13.33203125" style="125" bestFit="1" customWidth="1"/>
    <col min="141" max="141" width="14" style="125" bestFit="1" customWidth="1"/>
    <col min="142" max="142" width="13" style="125" bestFit="1" customWidth="1"/>
    <col min="143" max="143" width="16.88671875" style="125" bestFit="1" customWidth="1"/>
    <col min="144" max="144" width="11.6640625" style="125" bestFit="1" customWidth="1"/>
    <col min="145" max="145" width="14" style="125" bestFit="1" customWidth="1"/>
    <col min="146" max="146" width="21.5546875" style="125" bestFit="1" customWidth="1"/>
    <col min="147" max="147" width="22.5546875" style="125" bestFit="1" customWidth="1"/>
    <col min="148" max="148" width="13.88671875" style="125" bestFit="1" customWidth="1"/>
    <col min="149" max="149" width="12.88671875" style="125" bestFit="1" customWidth="1"/>
    <col min="150" max="150" width="13.5546875" style="125" bestFit="1" customWidth="1"/>
    <col min="151" max="151" width="11.88671875" style="125" bestFit="1" customWidth="1"/>
    <col min="152" max="152" width="13.33203125" style="125" bestFit="1" customWidth="1"/>
    <col min="153" max="153" width="14.44140625" style="125"/>
    <col min="154" max="154" width="13.44140625" style="125" bestFit="1" customWidth="1"/>
    <col min="155" max="155" width="11.6640625" style="125" bestFit="1" customWidth="1"/>
    <col min="156" max="156" width="12.33203125" style="125" bestFit="1" customWidth="1"/>
    <col min="157" max="157" width="13.44140625" style="125" bestFit="1" customWidth="1"/>
    <col min="158" max="158" width="12.6640625" style="125" bestFit="1" customWidth="1"/>
    <col min="159" max="159" width="14.109375" style="125" bestFit="1" customWidth="1"/>
    <col min="160" max="160" width="13.88671875" style="125" bestFit="1" customWidth="1"/>
    <col min="161" max="161" width="14.44140625" style="125"/>
    <col min="162" max="162" width="11.6640625" style="125" bestFit="1" customWidth="1"/>
    <col min="163" max="163" width="13.6640625" style="125" bestFit="1" customWidth="1"/>
    <col min="164" max="166" width="14.44140625" style="125"/>
    <col min="167" max="167" width="13.109375" style="125" bestFit="1" customWidth="1"/>
    <col min="168" max="169" width="12.88671875" style="125" bestFit="1" customWidth="1"/>
    <col min="170" max="171" width="13.88671875" style="125" bestFit="1" customWidth="1"/>
    <col min="172" max="172" width="14" style="125" bestFit="1" customWidth="1"/>
    <col min="173" max="173" width="12.88671875" style="125" bestFit="1" customWidth="1"/>
    <col min="174" max="174" width="13.44140625" style="125" bestFit="1" customWidth="1"/>
    <col min="175" max="178" width="12.88671875" style="125" bestFit="1" customWidth="1"/>
    <col min="179" max="179" width="13.44140625" style="125" bestFit="1" customWidth="1"/>
    <col min="180" max="180" width="12.88671875" style="125" bestFit="1" customWidth="1"/>
    <col min="181" max="181" width="13.44140625" style="125" bestFit="1" customWidth="1"/>
    <col min="182" max="185" width="12.88671875" style="125" bestFit="1" customWidth="1"/>
    <col min="186" max="187" width="13.5546875" style="125" bestFit="1" customWidth="1"/>
    <col min="188" max="189" width="12.88671875" style="125" bestFit="1" customWidth="1"/>
    <col min="190" max="191" width="13.109375" style="125" bestFit="1" customWidth="1"/>
    <col min="192" max="192" width="20.44140625" style="125" bestFit="1" customWidth="1"/>
    <col min="193" max="193" width="22.109375" style="125" bestFit="1" customWidth="1"/>
    <col min="194" max="194" width="13.33203125" style="125" bestFit="1" customWidth="1"/>
    <col min="195" max="195" width="16.6640625" style="125" bestFit="1" customWidth="1"/>
    <col min="196" max="196" width="13" style="125" bestFit="1" customWidth="1"/>
    <col min="197" max="197" width="20" style="125" bestFit="1" customWidth="1"/>
    <col min="198" max="198" width="12.88671875" style="125" bestFit="1" customWidth="1"/>
    <col min="199" max="199" width="14" style="125" bestFit="1" customWidth="1"/>
    <col min="200" max="200" width="22.109375" style="125" bestFit="1" customWidth="1"/>
    <col min="201" max="201" width="22.5546875" style="125" bestFit="1" customWidth="1"/>
    <col min="202" max="202" width="13.88671875" style="125" bestFit="1" customWidth="1"/>
    <col min="203" max="203" width="12.88671875" style="125" bestFit="1" customWidth="1"/>
    <col min="204" max="204" width="13.5546875" style="125" bestFit="1" customWidth="1"/>
    <col min="205" max="205" width="13.6640625" style="125" bestFit="1" customWidth="1"/>
    <col min="206" max="206" width="13.33203125" style="125" bestFit="1" customWidth="1"/>
    <col min="207" max="207" width="14.44140625" style="125"/>
    <col min="208" max="208" width="13.44140625" style="125" bestFit="1" customWidth="1"/>
    <col min="209" max="210" width="12.88671875" style="125" bestFit="1" customWidth="1"/>
    <col min="211" max="211" width="13.44140625" style="125" bestFit="1" customWidth="1"/>
    <col min="212" max="16384" width="14.44140625" style="125"/>
  </cols>
  <sheetData>
    <row r="1" spans="1:217" s="235" customFormat="1" ht="90.75" customHeight="1" x14ac:dyDescent="0.3">
      <c r="A1" s="127" t="s">
        <v>116</v>
      </c>
      <c r="B1" s="127" t="s">
        <v>113</v>
      </c>
      <c r="C1" s="127" t="s">
        <v>114</v>
      </c>
      <c r="D1" s="127" t="s">
        <v>110</v>
      </c>
      <c r="E1" s="127" t="s">
        <v>65</v>
      </c>
      <c r="F1" s="127" t="s">
        <v>5</v>
      </c>
      <c r="G1" s="127" t="s">
        <v>61</v>
      </c>
      <c r="H1" s="127" t="s">
        <v>7</v>
      </c>
      <c r="I1" s="127" t="s">
        <v>62</v>
      </c>
      <c r="J1" s="127" t="s">
        <v>3</v>
      </c>
      <c r="K1" s="127" t="s">
        <v>4</v>
      </c>
      <c r="L1" s="127" t="s">
        <v>6</v>
      </c>
      <c r="M1" s="127" t="s">
        <v>8</v>
      </c>
      <c r="N1" s="127" t="s">
        <v>63</v>
      </c>
      <c r="O1" s="93" t="s">
        <v>111</v>
      </c>
      <c r="P1" s="127" t="s">
        <v>123</v>
      </c>
      <c r="Q1" s="127" t="s">
        <v>124</v>
      </c>
      <c r="R1" s="127" t="s">
        <v>117</v>
      </c>
      <c r="S1" s="127" t="s">
        <v>120</v>
      </c>
      <c r="T1" s="127" t="s">
        <v>118</v>
      </c>
      <c r="U1" s="127" t="s">
        <v>121</v>
      </c>
      <c r="V1" s="127" t="s">
        <v>119</v>
      </c>
      <c r="W1" s="127" t="s">
        <v>122</v>
      </c>
      <c r="X1" s="221" t="s">
        <v>291</v>
      </c>
      <c r="Y1" s="221" t="s">
        <v>293</v>
      </c>
      <c r="Z1" s="221" t="s">
        <v>295</v>
      </c>
      <c r="AA1" s="221" t="s">
        <v>297</v>
      </c>
      <c r="AB1" s="221" t="s">
        <v>299</v>
      </c>
      <c r="AC1" s="221" t="s">
        <v>301</v>
      </c>
      <c r="AD1" s="221" t="s">
        <v>303</v>
      </c>
      <c r="AE1" s="221" t="s">
        <v>354</v>
      </c>
      <c r="AF1" s="221" t="s">
        <v>305</v>
      </c>
      <c r="AG1" s="221" t="s">
        <v>307</v>
      </c>
      <c r="AH1" s="221" t="s">
        <v>309</v>
      </c>
      <c r="AI1" s="221" t="s">
        <v>311</v>
      </c>
      <c r="AJ1" s="221" t="s">
        <v>313</v>
      </c>
      <c r="AK1" s="221" t="s">
        <v>315</v>
      </c>
      <c r="AL1" s="221" t="s">
        <v>317</v>
      </c>
      <c r="AM1" s="221" t="s">
        <v>319</v>
      </c>
      <c r="AN1" s="222" t="s">
        <v>292</v>
      </c>
      <c r="AO1" s="222" t="s">
        <v>294</v>
      </c>
      <c r="AP1" s="222" t="s">
        <v>296</v>
      </c>
      <c r="AQ1" s="222" t="s">
        <v>298</v>
      </c>
      <c r="AR1" s="222" t="s">
        <v>300</v>
      </c>
      <c r="AS1" s="222" t="s">
        <v>302</v>
      </c>
      <c r="AT1" s="222" t="s">
        <v>304</v>
      </c>
      <c r="AU1" s="222" t="s">
        <v>355</v>
      </c>
      <c r="AV1" s="222" t="s">
        <v>306</v>
      </c>
      <c r="AW1" s="222" t="s">
        <v>308</v>
      </c>
      <c r="AX1" s="222" t="s">
        <v>310</v>
      </c>
      <c r="AY1" s="222" t="s">
        <v>312</v>
      </c>
      <c r="AZ1" s="222" t="s">
        <v>314</v>
      </c>
      <c r="BA1" s="222" t="s">
        <v>316</v>
      </c>
      <c r="BB1" s="222" t="s">
        <v>318</v>
      </c>
      <c r="BC1" s="222" t="s">
        <v>320</v>
      </c>
      <c r="BD1" s="223" t="s">
        <v>128</v>
      </c>
      <c r="BE1" s="223" t="s">
        <v>129</v>
      </c>
      <c r="BF1" s="223" t="s">
        <v>130</v>
      </c>
      <c r="BG1" s="224" t="s">
        <v>131</v>
      </c>
      <c r="BH1" s="225" t="s">
        <v>132</v>
      </c>
      <c r="BI1" s="225" t="s">
        <v>133</v>
      </c>
      <c r="BJ1" s="226" t="s">
        <v>134</v>
      </c>
      <c r="BK1" s="226" t="s">
        <v>135</v>
      </c>
      <c r="BL1" s="226" t="s">
        <v>136</v>
      </c>
      <c r="BM1" s="226" t="s">
        <v>137</v>
      </c>
      <c r="BN1" s="227" t="s">
        <v>138</v>
      </c>
      <c r="BO1" s="227" t="s">
        <v>139</v>
      </c>
      <c r="BP1" s="224" t="s">
        <v>140</v>
      </c>
      <c r="BQ1" s="224" t="s">
        <v>141</v>
      </c>
      <c r="BR1" s="224" t="s">
        <v>142</v>
      </c>
      <c r="BS1" s="224" t="s">
        <v>143</v>
      </c>
      <c r="BT1" s="224" t="s">
        <v>144</v>
      </c>
      <c r="BU1" s="224" t="s">
        <v>145</v>
      </c>
      <c r="BV1" s="224" t="s">
        <v>146</v>
      </c>
      <c r="BW1" s="224" t="s">
        <v>147</v>
      </c>
      <c r="BX1" s="224" t="s">
        <v>148</v>
      </c>
      <c r="BY1" s="224" t="s">
        <v>149</v>
      </c>
      <c r="BZ1" s="224" t="s">
        <v>150</v>
      </c>
      <c r="CA1" s="224" t="s">
        <v>151</v>
      </c>
      <c r="CB1" s="224" t="s">
        <v>152</v>
      </c>
      <c r="CC1" s="224" t="s">
        <v>153</v>
      </c>
      <c r="CD1" s="224" t="s">
        <v>154</v>
      </c>
      <c r="CE1" s="224" t="s">
        <v>155</v>
      </c>
      <c r="CF1" s="228" t="s">
        <v>156</v>
      </c>
      <c r="CG1" s="224" t="s">
        <v>157</v>
      </c>
      <c r="CH1" s="224" t="s">
        <v>158</v>
      </c>
      <c r="CI1" s="224" t="s">
        <v>159</v>
      </c>
      <c r="CJ1" s="224" t="s">
        <v>160</v>
      </c>
      <c r="CK1" s="229" t="s">
        <v>161</v>
      </c>
      <c r="CL1" s="229" t="s">
        <v>162</v>
      </c>
      <c r="CM1" s="229" t="s">
        <v>163</v>
      </c>
      <c r="CN1" s="229" t="s">
        <v>164</v>
      </c>
      <c r="CO1" s="229" t="s">
        <v>165</v>
      </c>
      <c r="CP1" s="229" t="s">
        <v>166</v>
      </c>
      <c r="CQ1" s="229" t="s">
        <v>167</v>
      </c>
      <c r="CR1" s="230" t="s">
        <v>168</v>
      </c>
      <c r="CS1" s="231" t="s">
        <v>169</v>
      </c>
      <c r="CT1" s="231" t="s">
        <v>170</v>
      </c>
      <c r="CU1" s="231" t="s">
        <v>171</v>
      </c>
      <c r="CV1" s="232" t="s">
        <v>172</v>
      </c>
      <c r="CW1" s="233" t="s">
        <v>173</v>
      </c>
      <c r="CX1" s="234" t="s">
        <v>174</v>
      </c>
      <c r="CY1" s="234" t="s">
        <v>175</v>
      </c>
      <c r="CZ1" s="234" t="s">
        <v>176</v>
      </c>
      <c r="DA1" s="234" t="s">
        <v>177</v>
      </c>
      <c r="DB1" s="234" t="s">
        <v>178</v>
      </c>
      <c r="DC1" s="234" t="s">
        <v>179</v>
      </c>
      <c r="DD1" s="234" t="s">
        <v>180</v>
      </c>
      <c r="DE1" s="234" t="s">
        <v>181</v>
      </c>
      <c r="DF1" s="223" t="s">
        <v>182</v>
      </c>
      <c r="DG1" s="223" t="s">
        <v>183</v>
      </c>
      <c r="DH1" s="223" t="s">
        <v>184</v>
      </c>
      <c r="DI1" s="224" t="s">
        <v>185</v>
      </c>
      <c r="DJ1" s="225" t="s">
        <v>186</v>
      </c>
      <c r="DK1" s="225" t="s">
        <v>187</v>
      </c>
      <c r="DL1" s="226" t="s">
        <v>188</v>
      </c>
      <c r="DM1" s="226" t="s">
        <v>189</v>
      </c>
      <c r="DN1" s="226" t="s">
        <v>190</v>
      </c>
      <c r="DO1" s="226" t="s">
        <v>191</v>
      </c>
      <c r="DP1" s="227" t="s">
        <v>192</v>
      </c>
      <c r="DQ1" s="227" t="s">
        <v>193</v>
      </c>
      <c r="DR1" s="224" t="s">
        <v>194</v>
      </c>
      <c r="DS1" s="224" t="s">
        <v>195</v>
      </c>
      <c r="DT1" s="224" t="s">
        <v>196</v>
      </c>
      <c r="DU1" s="224" t="s">
        <v>197</v>
      </c>
      <c r="DV1" s="224" t="s">
        <v>198</v>
      </c>
      <c r="DW1" s="224" t="s">
        <v>199</v>
      </c>
      <c r="DX1" s="224" t="s">
        <v>200</v>
      </c>
      <c r="DY1" s="224" t="s">
        <v>201</v>
      </c>
      <c r="DZ1" s="224" t="s">
        <v>202</v>
      </c>
      <c r="EA1" s="224" t="s">
        <v>203</v>
      </c>
      <c r="EB1" s="224" t="s">
        <v>204</v>
      </c>
      <c r="EC1" s="224" t="s">
        <v>205</v>
      </c>
      <c r="ED1" s="224" t="s">
        <v>206</v>
      </c>
      <c r="EE1" s="224" t="s">
        <v>207</v>
      </c>
      <c r="EF1" s="224" t="s">
        <v>208</v>
      </c>
      <c r="EG1" s="224" t="s">
        <v>209</v>
      </c>
      <c r="EH1" s="228" t="s">
        <v>210</v>
      </c>
      <c r="EI1" s="224" t="s">
        <v>211</v>
      </c>
      <c r="EJ1" s="224" t="s">
        <v>212</v>
      </c>
      <c r="EK1" s="224" t="s">
        <v>213</v>
      </c>
      <c r="EL1" s="224" t="s">
        <v>214</v>
      </c>
      <c r="EM1" s="229" t="s">
        <v>215</v>
      </c>
      <c r="EN1" s="229" t="s">
        <v>216</v>
      </c>
      <c r="EO1" s="229" t="s">
        <v>217</v>
      </c>
      <c r="EP1" s="229" t="s">
        <v>218</v>
      </c>
      <c r="EQ1" s="229" t="s">
        <v>219</v>
      </c>
      <c r="ER1" s="229" t="s">
        <v>220</v>
      </c>
      <c r="ES1" s="229" t="s">
        <v>221</v>
      </c>
      <c r="ET1" s="230" t="s">
        <v>222</v>
      </c>
      <c r="EU1" s="231" t="s">
        <v>223</v>
      </c>
      <c r="EV1" s="231" t="s">
        <v>224</v>
      </c>
      <c r="EW1" s="231" t="s">
        <v>225</v>
      </c>
      <c r="EX1" s="232" t="s">
        <v>226</v>
      </c>
      <c r="EY1" s="233" t="s">
        <v>227</v>
      </c>
      <c r="EZ1" s="234" t="s">
        <v>228</v>
      </c>
      <c r="FA1" s="234" t="s">
        <v>229</v>
      </c>
      <c r="FB1" s="234" t="s">
        <v>230</v>
      </c>
      <c r="FC1" s="234" t="s">
        <v>231</v>
      </c>
      <c r="FD1" s="234" t="s">
        <v>232</v>
      </c>
      <c r="FE1" s="234" t="s">
        <v>233</v>
      </c>
      <c r="FF1" s="234" t="s">
        <v>234</v>
      </c>
      <c r="FG1" s="234" t="s">
        <v>235</v>
      </c>
      <c r="FH1" s="223" t="s">
        <v>236</v>
      </c>
      <c r="FI1" s="223" t="s">
        <v>237</v>
      </c>
      <c r="FJ1" s="223" t="s">
        <v>238</v>
      </c>
      <c r="FK1" s="224" t="s">
        <v>239</v>
      </c>
      <c r="FL1" s="225" t="s">
        <v>240</v>
      </c>
      <c r="FM1" s="225" t="s">
        <v>241</v>
      </c>
      <c r="FN1" s="226" t="s">
        <v>242</v>
      </c>
      <c r="FO1" s="226" t="s">
        <v>243</v>
      </c>
      <c r="FP1" s="226" t="s">
        <v>244</v>
      </c>
      <c r="FQ1" s="226" t="s">
        <v>245</v>
      </c>
      <c r="FR1" s="227" t="s">
        <v>246</v>
      </c>
      <c r="FS1" s="227" t="s">
        <v>247</v>
      </c>
      <c r="FT1" s="224" t="s">
        <v>248</v>
      </c>
      <c r="FU1" s="224" t="s">
        <v>249</v>
      </c>
      <c r="FV1" s="224" t="s">
        <v>250</v>
      </c>
      <c r="FW1" s="224" t="s">
        <v>251</v>
      </c>
      <c r="FX1" s="224" t="s">
        <v>252</v>
      </c>
      <c r="FY1" s="224" t="s">
        <v>253</v>
      </c>
      <c r="FZ1" s="224" t="s">
        <v>254</v>
      </c>
      <c r="GA1" s="224" t="s">
        <v>255</v>
      </c>
      <c r="GB1" s="224" t="s">
        <v>256</v>
      </c>
      <c r="GC1" s="224" t="s">
        <v>257</v>
      </c>
      <c r="GD1" s="224" t="s">
        <v>258</v>
      </c>
      <c r="GE1" s="224" t="s">
        <v>259</v>
      </c>
      <c r="GF1" s="224" t="s">
        <v>260</v>
      </c>
      <c r="GG1" s="224" t="s">
        <v>261</v>
      </c>
      <c r="GH1" s="224" t="s">
        <v>262</v>
      </c>
      <c r="GI1" s="224" t="s">
        <v>263</v>
      </c>
      <c r="GJ1" s="228" t="s">
        <v>264</v>
      </c>
      <c r="GK1" s="224" t="s">
        <v>265</v>
      </c>
      <c r="GL1" s="224" t="s">
        <v>266</v>
      </c>
      <c r="GM1" s="224" t="s">
        <v>267</v>
      </c>
      <c r="GN1" s="224" t="s">
        <v>268</v>
      </c>
      <c r="GO1" s="229" t="s">
        <v>269</v>
      </c>
      <c r="GP1" s="229" t="s">
        <v>270</v>
      </c>
      <c r="GQ1" s="229" t="s">
        <v>271</v>
      </c>
      <c r="GR1" s="229" t="s">
        <v>272</v>
      </c>
      <c r="GS1" s="229" t="s">
        <v>273</v>
      </c>
      <c r="GT1" s="229" t="s">
        <v>274</v>
      </c>
      <c r="GU1" s="229" t="s">
        <v>275</v>
      </c>
      <c r="GV1" s="230" t="s">
        <v>276</v>
      </c>
      <c r="GW1" s="231" t="s">
        <v>277</v>
      </c>
      <c r="GX1" s="231" t="s">
        <v>278</v>
      </c>
      <c r="GY1" s="231" t="s">
        <v>279</v>
      </c>
      <c r="GZ1" s="232" t="s">
        <v>280</v>
      </c>
      <c r="HA1" s="233" t="s">
        <v>281</v>
      </c>
      <c r="HB1" s="234" t="s">
        <v>282</v>
      </c>
      <c r="HC1" s="234" t="s">
        <v>283</v>
      </c>
      <c r="HD1" s="234" t="s">
        <v>284</v>
      </c>
      <c r="HE1" s="234" t="s">
        <v>285</v>
      </c>
      <c r="HF1" s="234" t="s">
        <v>286</v>
      </c>
      <c r="HG1" s="234" t="s">
        <v>287</v>
      </c>
      <c r="HH1" s="234" t="s">
        <v>288</v>
      </c>
      <c r="HI1" s="234" t="s">
        <v>289</v>
      </c>
    </row>
    <row r="2" spans="1:217" s="132" customFormat="1" ht="28.8" x14ac:dyDescent="0.3">
      <c r="B2" s="132" t="e">
        <f>#REF!+1</f>
        <v>#REF!</v>
      </c>
      <c r="C2" s="132" t="str">
        <f>'FICHA DE CARACTERIZACION A 3.1'!B1</f>
        <v>MATERIA ORGANICA</v>
      </c>
      <c r="D2" s="132" t="str">
        <f>'FICHA DE CARACTERIZACION A 3.1'!B2</f>
        <v>PTR Tafalla</v>
      </c>
      <c r="E2" s="132" t="str">
        <f>'FICHA DE CARACTERIZACION A 3.1'!B3</f>
        <v>Mairaga</v>
      </c>
      <c r="F2" s="132" t="str">
        <f>'FICHA DE CARACTERIZACION A 3.1'!B4</f>
        <v>Fracciones</v>
      </c>
      <c r="G2" s="133">
        <f>'FICHA DE CARACTERIZACION A 3.1'!B5</f>
        <v>5200</v>
      </c>
      <c r="H2" s="132" t="str">
        <f>'FICHA DE CARACTERIZACION A 3.1'!B6</f>
        <v>MATERIA ORGANICA</v>
      </c>
      <c r="I2" s="132" t="str">
        <f>'FICHA DE CARACTERIZACION A 3.1'!B7</f>
        <v>Contenedor</v>
      </c>
      <c r="J2" s="134" t="str">
        <f>'FICHA DE CARACTERIZACION A 3.1'!B8</f>
        <v>CARACTERIZACIONES S.L.</v>
      </c>
      <c r="K2" s="132">
        <f>'FICHA DE CARACTERIZACION A 3.1'!B9</f>
        <v>45071.4375</v>
      </c>
      <c r="L2" s="132" t="str">
        <f>'FICHA DE CARACTERIZACION A 3.1'!B10</f>
        <v>Contenedor</v>
      </c>
      <c r="M2" s="132" t="str">
        <f>'FICHA DE CARACTERIZACION A 3.1'!B11</f>
        <v>5896 HYT</v>
      </c>
      <c r="N2" s="132">
        <f>'FICHA DE CARACTERIZACION A 3.1'!L2</f>
        <v>0</v>
      </c>
      <c r="O2" s="132">
        <f>'FICHA DE CARACTERIZACION A 3.1'!B14</f>
        <v>15367.000000000024</v>
      </c>
      <c r="P2" s="132">
        <f>GETPIVOTDATA("Suma de TOTAL",'FICHA DE CARACTERIZACION A 3.1'!$A$201,"Solicitado/impropio","Impropio")</f>
        <v>9787.5999999999985</v>
      </c>
      <c r="Q2" s="132">
        <f>GETPIVOTDATA("Suma de TOTAL",'FICHA DE CARACTERIZACION A 3.1'!$A$201,"Solicitado/impropio","Impropio")</f>
        <v>9787.5999999999985</v>
      </c>
      <c r="R2" s="132">
        <f>GETPIVOTDATA("Suma de TOTAL",'FICHA DE CARACTERIZACION A 3.1'!$A$185,"ORIGEN","DOMÉSTICOS")</f>
        <v>2223.4000000000005</v>
      </c>
      <c r="S2" s="132">
        <f>GETPIVOTDATA("Suma de TOTAL",'FICHA DE CARACTERIZACION A 3.1'!$A$185,"ORIGEN","DOMÉSTICOS")</f>
        <v>2223.4000000000005</v>
      </c>
      <c r="T2" s="132">
        <f>GETPIVOTDATA("Suma de TOTAL",'FICHA DE CARACTERIZACION A 3.1'!$A$185,"ORIGEN","COMERCIALES")</f>
        <v>5113.7999999999956</v>
      </c>
      <c r="U2" s="132">
        <f>GETPIVOTDATA("Suma de TOTAL",'FICHA DE CARACTERIZACION A 3.1'!$A$185,"ORIGEN","COMERCIALES")</f>
        <v>5113.7999999999956</v>
      </c>
      <c r="V2" s="132">
        <f>GETPIVOTDATA("Suma de TOTAL",'FICHA DE CARACTERIZACION A 3.1'!$A$185,"ORIGEN","INDUSTRIALES / AGRICOLAS")</f>
        <v>8029.7999999999938</v>
      </c>
      <c r="W2" s="132">
        <f>GETPIVOTDATA("Suma de TOTAL",'FICHA DE CARACTERIZACION A 3.1'!$A$185,"ORIGEN","INDUSTRIALES / AGRICOLAS")</f>
        <v>8029.7999999999938</v>
      </c>
      <c r="X2" s="132">
        <f>GETPIVOTDATA("Suma de TOTAL",'FICHA DE CARACTERIZACION A 3.1'!$A$218,"NIVEL 0","Papel – cartón")</f>
        <v>648.40000000000009</v>
      </c>
      <c r="Y2" s="132">
        <f>GETPIVOTDATA("Suma de TOTAL",'FICHA DE CARACTERIZACION A 3.1'!$A$218,"NIVEL 0","Brik")</f>
        <v>213.60000000000002</v>
      </c>
      <c r="Z2" s="132">
        <f>GETPIVOTDATA("Suma de TOTAL",'FICHA DE CARACTERIZACION A 3.1'!$A$218,"NIVEL 0","Vidrio ")</f>
        <v>436.2</v>
      </c>
      <c r="AA2" s="132">
        <f>GETPIVOTDATA("Suma de TOTAL",'FICHA DE CARACTERIZACION A 3.1'!$A$218,"NIVEL 0","Metales férricos")</f>
        <v>448.2</v>
      </c>
      <c r="AB2" s="132">
        <f>GETPIVOTDATA("Suma de TOTAL",'FICHA DE CARACTERIZACION A 3.1'!$A$218,"NIVEL 0","Metales no férricos")</f>
        <v>460.2</v>
      </c>
      <c r="AC2" s="132">
        <f>GETPIVOTDATA("Suma de TOTAL",'FICHA DE CARACTERIZACION A 3.1'!$A$218,"NIVEL 0","Madera")</f>
        <v>472.2</v>
      </c>
      <c r="AD2" s="132">
        <f>GETPIVOTDATA("Suma de TOTAL",'FICHA DE CARACTERIZACION A 3.1'!$A$218,"NIVEL 0","Plásticos (excepto SUP*)")</f>
        <v>4209.5999999999976</v>
      </c>
      <c r="AE2" s="132">
        <f>GETPIVOTDATA("Suma de TOTAL",'FICHA DE CARACTERIZACION A 3.1'!$A$218,"NIVEL 0","* Plásticos de un solo uso (SUP) [iii]")</f>
        <v>1473.0000000000002</v>
      </c>
      <c r="AF2" s="132">
        <f>GETPIVOTDATA("Suma de TOTAL",'FICHA DE CARACTERIZACION A 3.1'!$A$218,"NIVEL 0","Biorresiduos")</f>
        <v>2188.2000000000003</v>
      </c>
      <c r="AG2" s="132">
        <f>GETPIVOTDATA("Suma de TOTAL",'FICHA DE CARACTERIZACION A 3.1'!$A$218,"NIVEL 0","ACEITE")</f>
        <v>324.60000000000002</v>
      </c>
      <c r="AH2" s="132">
        <f>GETPIVOTDATA("Suma de TOTAL",'FICHA DE CARACTERIZACION A 3.1'!$A$218,"NIVEL 0","RAEE [iv]")</f>
        <v>327.60000000000002</v>
      </c>
      <c r="AI2" s="132">
        <f>GETPIVOTDATA("Suma de TOTAL",'FICHA DE CARACTERIZACION A 3.1'!$A$218,"NIVEL 0","Baterias")</f>
        <v>664.2</v>
      </c>
      <c r="AJ2" s="132">
        <f>GETPIVOTDATA("Suma de TOTAL",'FICHA DE CARACTERIZACION A 3.1'!$A$218,"NIVEL 0","Textiles")</f>
        <v>336.6</v>
      </c>
      <c r="AK2" s="132">
        <f>GETPIVOTDATA("Suma de TOTAL",'FICHA DE CARACTERIZACION A 3.1'!$A$218,"NIVEL 0","Textiles sanitarios")</f>
        <v>339.6</v>
      </c>
      <c r="AL2" s="132">
        <f>GETPIVOTDATA("Suma de TOTAL",'FICHA DE CARACTERIZACION A 3.1'!$A$218,"NIVEL 0","Tierras y RCDs")</f>
        <v>688.2</v>
      </c>
      <c r="AM2" s="132">
        <f>GETPIVOTDATA("Suma de TOTAL",'FICHA DE CARACTERIZACION A 3.1'!$A$218,"NIVEL 0","Otros")</f>
        <v>2136.6000000000004</v>
      </c>
      <c r="AN2" s="135">
        <f>GETPIVOTDATA("Suma de %",'FICHA DE CARACTERIZACION A 3.1'!$A$218,"NIVEL 0","Papel – cartón")</f>
        <v>4.2194312487798466E-2</v>
      </c>
      <c r="AO2" s="135">
        <f>GETPIVOTDATA("Suma de %",'FICHA DE CARACTERIZACION A 3.1'!$A$218,"NIVEL 0","Brik")</f>
        <v>1.3899915403136572E-2</v>
      </c>
      <c r="AP2" s="135">
        <f>GETPIVOTDATA("Suma de %",'FICHA DE CARACTERIZACION A 3.1'!$A$218,"NIVEL 0","Vidrio ")</f>
        <v>2.8385501399101926E-2</v>
      </c>
      <c r="AQ2" s="135">
        <f>GETPIVOTDATA("Suma de %",'FICHA DE CARACTERIZACION A 3.1'!$A$218,"NIVEL 0","Metales férricos")</f>
        <v>2.9166395522873645E-2</v>
      </c>
      <c r="AR2" s="135">
        <f>GETPIVOTDATA("Suma de %",'FICHA DE CARACTERIZACION A 3.1'!$A$218,"NIVEL 0","Metales no férricos")</f>
        <v>2.9947289646645364E-2</v>
      </c>
      <c r="AS2" s="135">
        <f>GETPIVOTDATA("Suma de %",'FICHA DE CARACTERIZACION A 3.1'!$A$218,"NIVEL 0","Madera")</f>
        <v>3.0728183770417077E-2</v>
      </c>
      <c r="AT2" s="135">
        <f>GETPIVOTDATA("Suma de %",'FICHA DE CARACTERIZACION A 3.1'!$A$218,"NIVEL 0","Plásticos (excepto SUP*)")</f>
        <v>0.27393765861911845</v>
      </c>
      <c r="AU2" s="135">
        <f>GETPIVOTDATA("Suma de %",'FICHA DE CARACTERIZACION A 3.1'!$A$218,"NIVEL 0","* Plásticos de un solo uso (SUP) [iii]")</f>
        <v>9.5854753692978301E-2</v>
      </c>
      <c r="AV2" s="135">
        <f>GETPIVOTDATA("Suma de %",'FICHA DE CARACTERIZACION A 3.1'!$A$218,"NIVEL 0","Biorresiduos")</f>
        <v>0.14239604346977267</v>
      </c>
      <c r="AW2" s="135">
        <f>GETPIVOTDATA("Suma de %",'FICHA DE CARACTERIZACION A 3.1'!$A$218,"NIVEL 0","ACEITE")</f>
        <v>2.1123186048024954E-2</v>
      </c>
      <c r="AX2" s="135">
        <f>GETPIVOTDATA("Suma de %",'FICHA DE CARACTERIZACION A 3.1'!$A$218,"NIVEL 0","RAEE [iv]")</f>
        <v>2.1318409578967884E-2</v>
      </c>
      <c r="AY2" s="135">
        <f>GETPIVOTDATA("Suma de %",'FICHA DE CARACTERIZACION A 3.1'!$A$218,"NIVEL 0","Baterias")</f>
        <v>4.3222489750764558E-2</v>
      </c>
      <c r="AZ2" s="135">
        <f>GETPIVOTDATA("Suma de %",'FICHA DE CARACTERIZACION A 3.1'!$A$218,"NIVEL 0","Textiles")</f>
        <v>2.1904080171796673E-2</v>
      </c>
      <c r="BA2" s="135">
        <f>GETPIVOTDATA("Suma de %",'FICHA DE CARACTERIZACION A 3.1'!$A$218,"NIVEL 0","Textiles sanitarios")</f>
        <v>2.2099303702739603E-2</v>
      </c>
      <c r="BB2" s="135">
        <f>GETPIVOTDATA("Suma de %",'FICHA DE CARACTERIZACION A 3.1'!$A$218,"NIVEL 0","Tierras y RCDs")</f>
        <v>4.4784277998307989E-2</v>
      </c>
      <c r="BC2" s="135">
        <f>GETPIVOTDATA("Suma de %",'FICHA DE CARACTERIZACION A 3.1'!$A$218,"NIVEL 0","Otros")</f>
        <v>0.1390381987375543</v>
      </c>
      <c r="BD2" s="132">
        <f>'FICHA DE CARACTERIZACION A 3.1'!M16</f>
        <v>38.799999999999997</v>
      </c>
      <c r="BE2" s="132">
        <f>'FICHA DE CARACTERIZACION A 3.1'!M17</f>
        <v>16.2</v>
      </c>
      <c r="BF2" s="132">
        <f>'FICHA DE CARACTERIZACION A 3.1'!M18</f>
        <v>16.2</v>
      </c>
      <c r="BG2" s="132">
        <f>'FICHA DE CARACTERIZACION A 3.1'!M19</f>
        <v>17.2</v>
      </c>
      <c r="BH2" s="132">
        <f>'FICHA DE CARACTERIZACION A 3.1'!M20</f>
        <v>18.2</v>
      </c>
      <c r="BI2" s="132">
        <f>'FICHA DE CARACTERIZACION A 3.1'!M21</f>
        <v>19.2</v>
      </c>
      <c r="BJ2" s="132">
        <f>'FICHA DE CARACTERIZACION A 3.1'!M22</f>
        <v>20.2</v>
      </c>
      <c r="BK2" s="132">
        <f>'FICHA DE CARACTERIZACION A 3.1'!M23</f>
        <v>21.2</v>
      </c>
      <c r="BL2" s="132">
        <f>'FICHA DE CARACTERIZACION A 3.1'!M24</f>
        <v>22.2</v>
      </c>
      <c r="BM2" s="132">
        <f>'FICHA DE CARACTERIZACION A 3.1'!M25</f>
        <v>23.2</v>
      </c>
      <c r="BN2" s="132">
        <f>'FICHA DE CARACTERIZACION A 3.1'!M26</f>
        <v>24.2</v>
      </c>
      <c r="BO2" s="132">
        <f>'FICHA DE CARACTERIZACION A 3.1'!M27</f>
        <v>25.2</v>
      </c>
      <c r="BP2" s="132">
        <f>'FICHA DE CARACTERIZACION A 3.1'!M28</f>
        <v>26.2</v>
      </c>
      <c r="BQ2" s="132">
        <f>'FICHA DE CARACTERIZACION A 3.1'!M29</f>
        <v>27.2</v>
      </c>
      <c r="BR2" s="132">
        <f>'FICHA DE CARACTERIZACION A 3.1'!M30</f>
        <v>28.2</v>
      </c>
      <c r="BS2" s="132">
        <f>'FICHA DE CARACTERIZACION A 3.1'!M31</f>
        <v>29.2</v>
      </c>
      <c r="BT2" s="132">
        <f>'FICHA DE CARACTERIZACION A 3.1'!M32</f>
        <v>30.2</v>
      </c>
      <c r="BU2" s="132">
        <f>'FICHA DE CARACTERIZACION A 3.1'!M33</f>
        <v>31.200000000000003</v>
      </c>
      <c r="BV2" s="132" t="s">
        <v>356</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73"/>
  <sheetViews>
    <sheetView workbookViewId="0">
      <selection activeCell="A11" sqref="A11"/>
    </sheetView>
  </sheetViews>
  <sheetFormatPr baseColWidth="10" defaultColWidth="23.44140625" defaultRowHeight="35.25" customHeight="1" x14ac:dyDescent="0.3"/>
  <cols>
    <col min="1" max="1" width="27.109375" bestFit="1" customWidth="1"/>
  </cols>
  <sheetData>
    <row r="2" spans="1:12" s="128" customFormat="1" ht="35.25" customHeight="1" x14ac:dyDescent="0.3">
      <c r="A2" s="127" t="s">
        <v>114</v>
      </c>
      <c r="B2" s="127" t="s">
        <v>110</v>
      </c>
      <c r="C2" s="127" t="s">
        <v>65</v>
      </c>
      <c r="D2" s="127" t="s">
        <v>5</v>
      </c>
      <c r="E2" s="127" t="s">
        <v>61</v>
      </c>
      <c r="F2" s="127" t="s">
        <v>7</v>
      </c>
      <c r="G2" s="127" t="s">
        <v>62</v>
      </c>
      <c r="H2" s="127" t="s">
        <v>3</v>
      </c>
      <c r="I2" s="127" t="s">
        <v>4</v>
      </c>
      <c r="J2" s="127" t="s">
        <v>6</v>
      </c>
      <c r="K2" s="127" t="s">
        <v>8</v>
      </c>
      <c r="L2" s="127" t="s">
        <v>63</v>
      </c>
    </row>
    <row r="3" spans="1:12" ht="35.25" customHeight="1" x14ac:dyDescent="0.3">
      <c r="A3" s="93" t="s">
        <v>103</v>
      </c>
      <c r="B3" s="93" t="s">
        <v>321</v>
      </c>
      <c r="C3" s="93" t="s">
        <v>330</v>
      </c>
      <c r="D3" s="94" t="s">
        <v>345</v>
      </c>
      <c r="F3" s="93" t="s">
        <v>103</v>
      </c>
      <c r="G3" s="93" t="s">
        <v>347</v>
      </c>
    </row>
    <row r="4" spans="1:12" ht="35.25" customHeight="1" x14ac:dyDescent="0.3">
      <c r="A4" s="94" t="s">
        <v>106</v>
      </c>
      <c r="B4" s="94" t="s">
        <v>322</v>
      </c>
      <c r="C4" s="94" t="s">
        <v>338</v>
      </c>
      <c r="D4" s="94" t="s">
        <v>346</v>
      </c>
      <c r="F4" s="94" t="s">
        <v>106</v>
      </c>
      <c r="G4" s="94" t="s">
        <v>348</v>
      </c>
    </row>
    <row r="5" spans="1:12" ht="35.25" customHeight="1" x14ac:dyDescent="0.3">
      <c r="A5" s="93" t="s">
        <v>108</v>
      </c>
      <c r="B5" s="93" t="s">
        <v>323</v>
      </c>
      <c r="C5" s="93" t="s">
        <v>339</v>
      </c>
      <c r="F5" s="93" t="s">
        <v>108</v>
      </c>
    </row>
    <row r="6" spans="1:12" ht="35.25" customHeight="1" x14ac:dyDescent="0.3">
      <c r="A6" s="93" t="s">
        <v>112</v>
      </c>
      <c r="B6" s="93" t="s">
        <v>324</v>
      </c>
      <c r="C6" s="93" t="s">
        <v>340</v>
      </c>
      <c r="F6" s="93" t="s">
        <v>112</v>
      </c>
    </row>
    <row r="7" spans="1:12" ht="35.25" customHeight="1" x14ac:dyDescent="0.3">
      <c r="A7" s="93" t="s">
        <v>107</v>
      </c>
      <c r="B7" s="93" t="s">
        <v>325</v>
      </c>
      <c r="C7" s="93" t="s">
        <v>334</v>
      </c>
      <c r="F7" s="93" t="s">
        <v>107</v>
      </c>
    </row>
    <row r="8" spans="1:12" ht="35.25" customHeight="1" x14ac:dyDescent="0.3">
      <c r="B8" s="93" t="s">
        <v>326</v>
      </c>
      <c r="C8" s="94" t="s">
        <v>335</v>
      </c>
    </row>
    <row r="9" spans="1:12" ht="35.25" customHeight="1" x14ac:dyDescent="0.3">
      <c r="B9" s="94" t="s">
        <v>327</v>
      </c>
      <c r="C9" s="93" t="s">
        <v>336</v>
      </c>
    </row>
    <row r="10" spans="1:12" ht="35.25" customHeight="1" x14ac:dyDescent="0.3">
      <c r="B10" s="93" t="s">
        <v>328</v>
      </c>
      <c r="C10" s="93" t="s">
        <v>332</v>
      </c>
    </row>
    <row r="11" spans="1:12" ht="35.25" customHeight="1" x14ac:dyDescent="0.3">
      <c r="B11" s="93" t="s">
        <v>329</v>
      </c>
      <c r="C11" s="93" t="s">
        <v>337</v>
      </c>
    </row>
    <row r="12" spans="1:12" ht="35.25" customHeight="1" x14ac:dyDescent="0.3">
      <c r="C12" s="94" t="s">
        <v>331</v>
      </c>
    </row>
    <row r="13" spans="1:12" ht="35.25" customHeight="1" x14ac:dyDescent="0.3">
      <c r="C13" s="93" t="s">
        <v>341</v>
      </c>
    </row>
    <row r="14" spans="1:12" ht="35.25" customHeight="1" x14ac:dyDescent="0.3">
      <c r="C14" s="93" t="s">
        <v>342</v>
      </c>
    </row>
    <row r="15" spans="1:12" ht="35.25" customHeight="1" x14ac:dyDescent="0.3">
      <c r="C15" s="93" t="s">
        <v>343</v>
      </c>
    </row>
    <row r="16" spans="1:12" ht="35.25" customHeight="1" x14ac:dyDescent="0.3">
      <c r="C16" s="93" t="s">
        <v>333</v>
      </c>
    </row>
    <row r="17" spans="1:8" ht="35.25" customHeight="1" x14ac:dyDescent="0.3">
      <c r="C17" s="94" t="s">
        <v>344</v>
      </c>
    </row>
    <row r="20" spans="1:8" ht="35.25" customHeight="1" x14ac:dyDescent="0.3">
      <c r="A20" s="41" t="s">
        <v>14</v>
      </c>
      <c r="B20" t="s">
        <v>290</v>
      </c>
      <c r="C20" t="s">
        <v>13</v>
      </c>
      <c r="D20" t="str">
        <f>B20&amp;" "&amp;A20</f>
        <v>Total Papel – cartón</v>
      </c>
      <c r="E20" t="str">
        <f>C20&amp;" "&amp;A20</f>
        <v>% Papel – cartón</v>
      </c>
      <c r="G20" t="s">
        <v>291</v>
      </c>
      <c r="H20" t="s">
        <v>292</v>
      </c>
    </row>
    <row r="21" spans="1:8" ht="35.25" customHeight="1" x14ac:dyDescent="0.3">
      <c r="A21" s="48" t="s">
        <v>18</v>
      </c>
      <c r="B21" t="s">
        <v>290</v>
      </c>
      <c r="C21" t="s">
        <v>13</v>
      </c>
      <c r="D21" t="str">
        <f t="shared" ref="D21:D36" si="0">B21&amp;" "&amp;A21</f>
        <v>Total Brik</v>
      </c>
      <c r="E21" t="str">
        <f t="shared" ref="E21:E36" si="1">C21&amp;" "&amp;A21</f>
        <v>% Brik</v>
      </c>
      <c r="G21" t="s">
        <v>293</v>
      </c>
      <c r="H21" t="s">
        <v>294</v>
      </c>
    </row>
    <row r="22" spans="1:8" ht="35.25" customHeight="1" x14ac:dyDescent="0.3">
      <c r="A22" s="44" t="s">
        <v>51</v>
      </c>
      <c r="B22" t="s">
        <v>290</v>
      </c>
      <c r="C22" t="s">
        <v>13</v>
      </c>
      <c r="D22" t="str">
        <f t="shared" si="0"/>
        <v xml:space="preserve">Total Vidrio </v>
      </c>
      <c r="E22" t="str">
        <f t="shared" si="1"/>
        <v xml:space="preserve">% Vidrio </v>
      </c>
      <c r="G22" t="s">
        <v>295</v>
      </c>
      <c r="H22" t="s">
        <v>296</v>
      </c>
    </row>
    <row r="23" spans="1:8" ht="35.25" customHeight="1" x14ac:dyDescent="0.3">
      <c r="A23" s="42" t="s">
        <v>21</v>
      </c>
      <c r="B23" t="s">
        <v>290</v>
      </c>
      <c r="C23" t="s">
        <v>13</v>
      </c>
      <c r="D23" t="str">
        <f t="shared" si="0"/>
        <v>Total Metales férricos</v>
      </c>
      <c r="E23" t="str">
        <f t="shared" si="1"/>
        <v>% Metales férricos</v>
      </c>
      <c r="G23" t="s">
        <v>297</v>
      </c>
      <c r="H23" t="s">
        <v>298</v>
      </c>
    </row>
    <row r="24" spans="1:8" ht="35.25" customHeight="1" x14ac:dyDescent="0.3">
      <c r="A24" s="42" t="s">
        <v>23</v>
      </c>
      <c r="B24" t="s">
        <v>290</v>
      </c>
      <c r="C24" t="s">
        <v>13</v>
      </c>
      <c r="D24" t="str">
        <f t="shared" si="0"/>
        <v>Total Metales no férricos</v>
      </c>
      <c r="E24" t="str">
        <f t="shared" si="1"/>
        <v>% Metales no férricos</v>
      </c>
      <c r="G24" t="s">
        <v>299</v>
      </c>
      <c r="H24" t="s">
        <v>300</v>
      </c>
    </row>
    <row r="25" spans="1:8" ht="35.25" customHeight="1" x14ac:dyDescent="0.3">
      <c r="A25" s="44" t="s">
        <v>51</v>
      </c>
      <c r="B25" t="s">
        <v>290</v>
      </c>
      <c r="C25" t="s">
        <v>13</v>
      </c>
      <c r="D25" t="str">
        <f t="shared" si="0"/>
        <v xml:space="preserve">Total Vidrio </v>
      </c>
      <c r="E25" t="str">
        <f t="shared" si="1"/>
        <v xml:space="preserve">% Vidrio </v>
      </c>
      <c r="G25" t="s">
        <v>295</v>
      </c>
      <c r="H25" t="s">
        <v>296</v>
      </c>
    </row>
    <row r="26" spans="1:8" ht="35.25" customHeight="1" x14ac:dyDescent="0.3">
      <c r="A26" s="42" t="s">
        <v>21</v>
      </c>
      <c r="B26" t="s">
        <v>290</v>
      </c>
      <c r="C26" t="s">
        <v>13</v>
      </c>
      <c r="D26" t="str">
        <f t="shared" si="0"/>
        <v>Total Metales férricos</v>
      </c>
      <c r="E26" t="str">
        <f t="shared" si="1"/>
        <v>% Metales férricos</v>
      </c>
      <c r="G26" t="s">
        <v>297</v>
      </c>
      <c r="H26" t="s">
        <v>298</v>
      </c>
    </row>
    <row r="27" spans="1:8" ht="35.25" customHeight="1" x14ac:dyDescent="0.3">
      <c r="A27" s="57" t="s">
        <v>25</v>
      </c>
      <c r="B27" t="s">
        <v>290</v>
      </c>
      <c r="C27" t="s">
        <v>13</v>
      </c>
      <c r="D27" t="str">
        <f t="shared" si="0"/>
        <v>Total Madera</v>
      </c>
      <c r="E27" t="str">
        <f t="shared" si="1"/>
        <v>% Madera</v>
      </c>
      <c r="G27" t="s">
        <v>301</v>
      </c>
      <c r="H27" t="s">
        <v>302</v>
      </c>
    </row>
    <row r="28" spans="1:8" ht="35.25" customHeight="1" x14ac:dyDescent="0.3">
      <c r="A28" s="48" t="s">
        <v>89</v>
      </c>
      <c r="B28" t="s">
        <v>290</v>
      </c>
      <c r="C28" t="s">
        <v>13</v>
      </c>
      <c r="D28" t="str">
        <f t="shared" si="0"/>
        <v>Total Plásticos (excepto SUP*)</v>
      </c>
      <c r="E28" t="str">
        <f t="shared" si="1"/>
        <v>% Plásticos (excepto SUP*)</v>
      </c>
      <c r="G28" t="s">
        <v>303</v>
      </c>
      <c r="H28" t="s">
        <v>304</v>
      </c>
    </row>
    <row r="29" spans="1:8" ht="35.25" customHeight="1" x14ac:dyDescent="0.3">
      <c r="A29" s="66" t="s">
        <v>39</v>
      </c>
      <c r="B29" t="s">
        <v>290</v>
      </c>
      <c r="C29" t="s">
        <v>13</v>
      </c>
      <c r="D29" t="str">
        <f t="shared" si="0"/>
        <v>Total Biorresiduos</v>
      </c>
      <c r="E29" t="str">
        <f t="shared" si="1"/>
        <v>% Biorresiduos</v>
      </c>
      <c r="G29" t="s">
        <v>305</v>
      </c>
      <c r="H29" t="s">
        <v>306</v>
      </c>
    </row>
    <row r="30" spans="1:8" ht="35.25" customHeight="1" x14ac:dyDescent="0.3">
      <c r="A30" s="65" t="s">
        <v>84</v>
      </c>
      <c r="B30" t="s">
        <v>290</v>
      </c>
      <c r="C30" t="s">
        <v>13</v>
      </c>
      <c r="D30" t="str">
        <f t="shared" si="0"/>
        <v>Total ACEITE</v>
      </c>
      <c r="E30" t="str">
        <f t="shared" si="1"/>
        <v>% ACEITE</v>
      </c>
      <c r="G30" t="s">
        <v>307</v>
      </c>
      <c r="H30" t="s">
        <v>308</v>
      </c>
    </row>
    <row r="31" spans="1:8" ht="35.25" customHeight="1" x14ac:dyDescent="0.3">
      <c r="A31" s="70" t="s">
        <v>91</v>
      </c>
      <c r="B31" t="s">
        <v>290</v>
      </c>
      <c r="C31" t="s">
        <v>13</v>
      </c>
      <c r="D31" t="str">
        <f t="shared" si="0"/>
        <v>Total RAEE [iv]</v>
      </c>
      <c r="E31" t="str">
        <f t="shared" si="1"/>
        <v>% RAEE [iv]</v>
      </c>
      <c r="G31" t="s">
        <v>309</v>
      </c>
      <c r="H31" t="s">
        <v>310</v>
      </c>
    </row>
    <row r="32" spans="1:8" ht="35.25" customHeight="1" x14ac:dyDescent="0.3">
      <c r="A32" s="74" t="s">
        <v>73</v>
      </c>
      <c r="B32" t="s">
        <v>290</v>
      </c>
      <c r="C32" t="s">
        <v>13</v>
      </c>
      <c r="D32" t="str">
        <f t="shared" si="0"/>
        <v>Total Baterias</v>
      </c>
      <c r="E32" t="str">
        <f t="shared" si="1"/>
        <v>% Baterias</v>
      </c>
      <c r="G32" t="s">
        <v>311</v>
      </c>
      <c r="H32" t="s">
        <v>312</v>
      </c>
    </row>
    <row r="33" spans="1:8" ht="35.25" customHeight="1" x14ac:dyDescent="0.3">
      <c r="A33" s="84" t="s">
        <v>74</v>
      </c>
      <c r="B33" t="s">
        <v>290</v>
      </c>
      <c r="C33" t="s">
        <v>13</v>
      </c>
      <c r="D33" t="str">
        <f t="shared" si="0"/>
        <v>Total Textiles</v>
      </c>
      <c r="E33" t="str">
        <f t="shared" si="1"/>
        <v>% Textiles</v>
      </c>
      <c r="G33" t="s">
        <v>313</v>
      </c>
      <c r="H33" t="s">
        <v>314</v>
      </c>
    </row>
    <row r="34" spans="1:8" ht="35.25" customHeight="1" x14ac:dyDescent="0.3">
      <c r="A34" s="75" t="s">
        <v>75</v>
      </c>
      <c r="B34" t="s">
        <v>290</v>
      </c>
      <c r="C34" t="s">
        <v>13</v>
      </c>
      <c r="D34" t="str">
        <f t="shared" si="0"/>
        <v>Total Textiles sanitarios</v>
      </c>
      <c r="E34" t="str">
        <f t="shared" si="1"/>
        <v>% Textiles sanitarios</v>
      </c>
      <c r="G34" t="s">
        <v>315</v>
      </c>
      <c r="H34" t="s">
        <v>316</v>
      </c>
    </row>
    <row r="35" spans="1:8" ht="35.25" customHeight="1" x14ac:dyDescent="0.3">
      <c r="A35" s="79" t="s">
        <v>76</v>
      </c>
      <c r="B35" t="s">
        <v>290</v>
      </c>
      <c r="C35" t="s">
        <v>13</v>
      </c>
      <c r="D35" t="str">
        <f t="shared" si="0"/>
        <v>Total Tierras y RCDs</v>
      </c>
      <c r="E35" t="str">
        <f t="shared" si="1"/>
        <v>% Tierras y RCDs</v>
      </c>
      <c r="G35" t="s">
        <v>317</v>
      </c>
      <c r="H35" t="s">
        <v>318</v>
      </c>
    </row>
    <row r="36" spans="1:8" ht="35.25" customHeight="1" x14ac:dyDescent="0.3">
      <c r="A36" s="79" t="s">
        <v>41</v>
      </c>
      <c r="B36" t="s">
        <v>290</v>
      </c>
      <c r="C36" t="s">
        <v>13</v>
      </c>
      <c r="D36" t="str">
        <f t="shared" si="0"/>
        <v>Total Otros</v>
      </c>
      <c r="E36" t="str">
        <f t="shared" si="1"/>
        <v>% Otros</v>
      </c>
      <c r="G36" t="s">
        <v>319</v>
      </c>
      <c r="H36" t="s">
        <v>320</v>
      </c>
    </row>
    <row r="69" spans="1:1" ht="35.25" customHeight="1" x14ac:dyDescent="0.3">
      <c r="A69" s="79" t="s">
        <v>41</v>
      </c>
    </row>
    <row r="70" spans="1:1" ht="35.25" customHeight="1" x14ac:dyDescent="0.3">
      <c r="A70" s="79" t="s">
        <v>41</v>
      </c>
    </row>
    <row r="71" spans="1:1" ht="35.25" customHeight="1" x14ac:dyDescent="0.3">
      <c r="A71" s="79" t="s">
        <v>41</v>
      </c>
    </row>
    <row r="72" spans="1:1" ht="35.25" customHeight="1" x14ac:dyDescent="0.3">
      <c r="A72" s="79" t="s">
        <v>41</v>
      </c>
    </row>
    <row r="73" spans="1:1" ht="35.25" customHeight="1" x14ac:dyDescent="0.3">
      <c r="A73" s="79" t="s">
        <v>41</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topLeftCell="A33" zoomScale="70" zoomScaleNormal="70" workbookViewId="0">
      <selection activeCell="I16" sqref="I16"/>
    </sheetView>
  </sheetViews>
  <sheetFormatPr baseColWidth="10" defaultColWidth="105" defaultRowHeight="14.4" x14ac:dyDescent="0.3"/>
  <cols>
    <col min="1" max="1" width="41" customWidth="1"/>
    <col min="2" max="2" width="98.6640625" customWidth="1"/>
    <col min="3" max="3" width="38.5546875" customWidth="1"/>
    <col min="4" max="4" width="16.6640625" customWidth="1"/>
    <col min="5" max="5" width="21.6640625" customWidth="1"/>
    <col min="6" max="6" width="20" customWidth="1"/>
    <col min="7" max="7" width="24.109375" customWidth="1"/>
    <col min="8" max="8" width="23.5546875" customWidth="1"/>
  </cols>
  <sheetData>
    <row r="1" spans="1:8" s="95" customFormat="1" ht="92.25" customHeight="1" x14ac:dyDescent="0.3">
      <c r="A1" s="93" t="s">
        <v>86</v>
      </c>
      <c r="B1" s="93" t="s">
        <v>87</v>
      </c>
      <c r="C1" s="93" t="s">
        <v>88</v>
      </c>
      <c r="D1" s="93" t="s">
        <v>103</v>
      </c>
      <c r="E1" s="94" t="s">
        <v>106</v>
      </c>
      <c r="F1" s="93" t="s">
        <v>108</v>
      </c>
      <c r="G1" s="93" t="s">
        <v>112</v>
      </c>
      <c r="H1" s="93" t="s">
        <v>107</v>
      </c>
    </row>
    <row r="2" spans="1:8" x14ac:dyDescent="0.3">
      <c r="A2" s="41" t="s">
        <v>14</v>
      </c>
      <c r="B2" s="41"/>
      <c r="C2" s="46" t="s">
        <v>15</v>
      </c>
      <c r="D2" s="89" t="s">
        <v>104</v>
      </c>
      <c r="E2" s="90" t="s">
        <v>104</v>
      </c>
      <c r="F2" s="90" t="s">
        <v>104</v>
      </c>
      <c r="G2" s="90" t="s">
        <v>104</v>
      </c>
      <c r="H2" s="90" t="s">
        <v>104</v>
      </c>
    </row>
    <row r="3" spans="1:8" x14ac:dyDescent="0.3">
      <c r="A3" s="41" t="s">
        <v>14</v>
      </c>
      <c r="B3" s="41"/>
      <c r="C3" s="46" t="s">
        <v>16</v>
      </c>
      <c r="D3" s="89" t="s">
        <v>104</v>
      </c>
      <c r="E3" s="90" t="s">
        <v>104</v>
      </c>
      <c r="F3" s="90" t="s">
        <v>104</v>
      </c>
      <c r="G3" s="90" t="s">
        <v>104</v>
      </c>
      <c r="H3" s="90" t="s">
        <v>104</v>
      </c>
    </row>
    <row r="4" spans="1:8" x14ac:dyDescent="0.3">
      <c r="A4" s="41" t="s">
        <v>14</v>
      </c>
      <c r="B4" s="41"/>
      <c r="C4" s="46" t="s">
        <v>17</v>
      </c>
      <c r="D4" s="89" t="s">
        <v>104</v>
      </c>
      <c r="E4" s="90" t="s">
        <v>104</v>
      </c>
      <c r="F4" s="90" t="s">
        <v>104</v>
      </c>
      <c r="G4" s="90" t="s">
        <v>104</v>
      </c>
      <c r="H4" s="90" t="s">
        <v>104</v>
      </c>
    </row>
    <row r="5" spans="1:8" x14ac:dyDescent="0.3">
      <c r="A5" s="48" t="s">
        <v>18</v>
      </c>
      <c r="B5" s="48"/>
      <c r="C5" s="49" t="s">
        <v>19</v>
      </c>
      <c r="D5" s="89" t="s">
        <v>104</v>
      </c>
      <c r="E5" s="88" t="s">
        <v>105</v>
      </c>
      <c r="F5" s="90" t="s">
        <v>104</v>
      </c>
      <c r="G5" s="88" t="s">
        <v>105</v>
      </c>
      <c r="H5" s="90" t="s">
        <v>104</v>
      </c>
    </row>
    <row r="6" spans="1:8" x14ac:dyDescent="0.3">
      <c r="A6" s="44" t="s">
        <v>51</v>
      </c>
      <c r="B6" s="44"/>
      <c r="C6" s="51" t="s">
        <v>19</v>
      </c>
      <c r="D6" s="89" t="s">
        <v>104</v>
      </c>
      <c r="E6" s="91" t="s">
        <v>104</v>
      </c>
      <c r="F6" s="90" t="s">
        <v>104</v>
      </c>
      <c r="G6" s="90" t="s">
        <v>104</v>
      </c>
      <c r="H6" s="90" t="s">
        <v>104</v>
      </c>
    </row>
    <row r="7" spans="1:8" x14ac:dyDescent="0.3">
      <c r="A7" s="44" t="s">
        <v>51</v>
      </c>
      <c r="B7" s="44"/>
      <c r="C7" s="51" t="s">
        <v>20</v>
      </c>
      <c r="D7" s="89" t="s">
        <v>104</v>
      </c>
      <c r="E7" s="91" t="s">
        <v>104</v>
      </c>
      <c r="F7" s="90" t="s">
        <v>104</v>
      </c>
      <c r="G7" s="90" t="s">
        <v>104</v>
      </c>
      <c r="H7" s="90" t="s">
        <v>104</v>
      </c>
    </row>
    <row r="8" spans="1:8" x14ac:dyDescent="0.3">
      <c r="A8" s="42" t="s">
        <v>21</v>
      </c>
      <c r="B8" s="42" t="s">
        <v>22</v>
      </c>
      <c r="C8" s="55" t="s">
        <v>19</v>
      </c>
      <c r="D8" s="89" t="s">
        <v>104</v>
      </c>
      <c r="E8" s="88" t="s">
        <v>105</v>
      </c>
      <c r="F8" s="90" t="s">
        <v>104</v>
      </c>
      <c r="G8" s="88" t="s">
        <v>105</v>
      </c>
      <c r="H8" s="90" t="s">
        <v>104</v>
      </c>
    </row>
    <row r="9" spans="1:8" x14ac:dyDescent="0.3">
      <c r="A9" s="42" t="s">
        <v>21</v>
      </c>
      <c r="B9" s="42" t="s">
        <v>22</v>
      </c>
      <c r="C9" s="55" t="s">
        <v>20</v>
      </c>
      <c r="D9" s="89" t="s">
        <v>104</v>
      </c>
      <c r="E9" s="91" t="s">
        <v>104</v>
      </c>
      <c r="F9" s="92" t="s">
        <v>105</v>
      </c>
      <c r="G9" s="88" t="s">
        <v>105</v>
      </c>
      <c r="H9" s="90" t="s">
        <v>104</v>
      </c>
    </row>
    <row r="10" spans="1:8" x14ac:dyDescent="0.3">
      <c r="A10" s="42" t="s">
        <v>23</v>
      </c>
      <c r="B10" s="42" t="s">
        <v>24</v>
      </c>
      <c r="C10" s="55" t="s">
        <v>19</v>
      </c>
      <c r="D10" s="89" t="s">
        <v>104</v>
      </c>
      <c r="E10" s="88" t="s">
        <v>105</v>
      </c>
      <c r="F10" s="90" t="s">
        <v>104</v>
      </c>
      <c r="G10" s="88" t="s">
        <v>105</v>
      </c>
      <c r="H10" s="90" t="s">
        <v>104</v>
      </c>
    </row>
    <row r="11" spans="1:8" x14ac:dyDescent="0.3">
      <c r="A11" s="42" t="s">
        <v>23</v>
      </c>
      <c r="B11" s="42" t="s">
        <v>24</v>
      </c>
      <c r="C11" s="55" t="s">
        <v>20</v>
      </c>
      <c r="D11" s="89" t="s">
        <v>104</v>
      </c>
      <c r="E11" s="91" t="s">
        <v>104</v>
      </c>
      <c r="F11" s="92" t="s">
        <v>105</v>
      </c>
      <c r="G11" s="88" t="s">
        <v>105</v>
      </c>
      <c r="H11" s="90" t="s">
        <v>104</v>
      </c>
    </row>
    <row r="12" spans="1:8" x14ac:dyDescent="0.3">
      <c r="A12" s="57" t="s">
        <v>25</v>
      </c>
      <c r="B12" s="57"/>
      <c r="C12" s="58" t="s">
        <v>19</v>
      </c>
      <c r="D12" s="89" t="s">
        <v>104</v>
      </c>
      <c r="E12" s="88" t="s">
        <v>105</v>
      </c>
      <c r="F12" s="90" t="s">
        <v>104</v>
      </c>
      <c r="G12" s="88" t="s">
        <v>105</v>
      </c>
      <c r="H12" s="90" t="s">
        <v>104</v>
      </c>
    </row>
    <row r="13" spans="1:8" x14ac:dyDescent="0.3">
      <c r="A13" s="57" t="s">
        <v>25</v>
      </c>
      <c r="B13" s="57"/>
      <c r="C13" s="58" t="s">
        <v>20</v>
      </c>
      <c r="D13" s="89" t="s">
        <v>104</v>
      </c>
      <c r="E13" s="91" t="s">
        <v>104</v>
      </c>
      <c r="F13" s="92" t="s">
        <v>105</v>
      </c>
      <c r="G13" s="88" t="s">
        <v>105</v>
      </c>
      <c r="H13" s="90" t="s">
        <v>104</v>
      </c>
    </row>
    <row r="14" spans="1:8" x14ac:dyDescent="0.3">
      <c r="A14" s="48" t="s">
        <v>89</v>
      </c>
      <c r="B14" s="49" t="s">
        <v>27</v>
      </c>
      <c r="C14" s="49" t="s">
        <v>19</v>
      </c>
      <c r="D14" s="89" t="s">
        <v>104</v>
      </c>
      <c r="E14" s="88" t="s">
        <v>105</v>
      </c>
      <c r="F14" s="90" t="s">
        <v>104</v>
      </c>
      <c r="G14" s="88" t="s">
        <v>105</v>
      </c>
      <c r="H14" s="90" t="s">
        <v>104</v>
      </c>
    </row>
    <row r="15" spans="1:8" x14ac:dyDescent="0.3">
      <c r="A15" s="48" t="s">
        <v>89</v>
      </c>
      <c r="B15" s="49" t="s">
        <v>27</v>
      </c>
      <c r="C15" s="49" t="s">
        <v>20</v>
      </c>
      <c r="D15" s="89" t="s">
        <v>104</v>
      </c>
      <c r="E15" s="91" t="s">
        <v>104</v>
      </c>
      <c r="F15" s="92" t="s">
        <v>105</v>
      </c>
      <c r="G15" s="88" t="s">
        <v>105</v>
      </c>
      <c r="H15" s="90" t="s">
        <v>104</v>
      </c>
    </row>
    <row r="16" spans="1:8" x14ac:dyDescent="0.3">
      <c r="A16" s="48" t="s">
        <v>89</v>
      </c>
      <c r="B16" s="49" t="s">
        <v>59</v>
      </c>
      <c r="C16" s="49" t="s">
        <v>19</v>
      </c>
      <c r="D16" s="89" t="s">
        <v>104</v>
      </c>
      <c r="E16" s="88" t="s">
        <v>105</v>
      </c>
      <c r="F16" s="90" t="s">
        <v>104</v>
      </c>
      <c r="G16" s="88" t="s">
        <v>105</v>
      </c>
      <c r="H16" s="90" t="s">
        <v>104</v>
      </c>
    </row>
    <row r="17" spans="1:8" x14ac:dyDescent="0.3">
      <c r="A17" s="48" t="s">
        <v>89</v>
      </c>
      <c r="B17" s="49" t="s">
        <v>59</v>
      </c>
      <c r="C17" s="49" t="s">
        <v>20</v>
      </c>
      <c r="D17" s="89" t="s">
        <v>104</v>
      </c>
      <c r="E17" s="91" t="s">
        <v>104</v>
      </c>
      <c r="F17" s="92" t="s">
        <v>105</v>
      </c>
      <c r="G17" s="88" t="s">
        <v>105</v>
      </c>
      <c r="H17" s="90" t="s">
        <v>104</v>
      </c>
    </row>
    <row r="18" spans="1:8" x14ac:dyDescent="0.3">
      <c r="A18" s="48" t="s">
        <v>89</v>
      </c>
      <c r="B18" s="49" t="s">
        <v>60</v>
      </c>
      <c r="C18" s="49" t="s">
        <v>19</v>
      </c>
      <c r="D18" s="89" t="s">
        <v>104</v>
      </c>
      <c r="E18" s="88" t="s">
        <v>105</v>
      </c>
      <c r="F18" s="90" t="s">
        <v>104</v>
      </c>
      <c r="G18" s="88" t="s">
        <v>105</v>
      </c>
      <c r="H18" s="90" t="s">
        <v>104</v>
      </c>
    </row>
    <row r="19" spans="1:8" x14ac:dyDescent="0.3">
      <c r="A19" s="48" t="s">
        <v>89</v>
      </c>
      <c r="B19" s="49" t="s">
        <v>60</v>
      </c>
      <c r="C19" s="49" t="s">
        <v>20</v>
      </c>
      <c r="D19" s="89" t="s">
        <v>104</v>
      </c>
      <c r="E19" s="91" t="s">
        <v>104</v>
      </c>
      <c r="F19" s="92" t="s">
        <v>105</v>
      </c>
      <c r="G19" s="88" t="s">
        <v>105</v>
      </c>
      <c r="H19" s="90" t="s">
        <v>104</v>
      </c>
    </row>
    <row r="20" spans="1:8" x14ac:dyDescent="0.3">
      <c r="A20" s="48" t="s">
        <v>89</v>
      </c>
      <c r="B20" s="49" t="s">
        <v>29</v>
      </c>
      <c r="C20" s="49" t="s">
        <v>19</v>
      </c>
      <c r="D20" s="89" t="s">
        <v>104</v>
      </c>
      <c r="E20" s="88" t="s">
        <v>105</v>
      </c>
      <c r="F20" s="90" t="s">
        <v>104</v>
      </c>
      <c r="G20" s="88" t="s">
        <v>105</v>
      </c>
      <c r="H20" s="90" t="s">
        <v>104</v>
      </c>
    </row>
    <row r="21" spans="1:8" x14ac:dyDescent="0.3">
      <c r="A21" s="48" t="s">
        <v>89</v>
      </c>
      <c r="B21" s="49" t="s">
        <v>29</v>
      </c>
      <c r="C21" s="49" t="s">
        <v>20</v>
      </c>
      <c r="D21" s="89" t="s">
        <v>104</v>
      </c>
      <c r="E21" s="91" t="s">
        <v>104</v>
      </c>
      <c r="F21" s="92" t="s">
        <v>105</v>
      </c>
      <c r="G21" s="88" t="s">
        <v>105</v>
      </c>
      <c r="H21" s="90" t="s">
        <v>104</v>
      </c>
    </row>
    <row r="22" spans="1:8" x14ac:dyDescent="0.3">
      <c r="A22" s="48" t="s">
        <v>89</v>
      </c>
      <c r="B22" s="49" t="s">
        <v>30</v>
      </c>
      <c r="C22" s="49" t="s">
        <v>19</v>
      </c>
      <c r="D22" s="89" t="s">
        <v>104</v>
      </c>
      <c r="E22" s="88" t="s">
        <v>105</v>
      </c>
      <c r="F22" s="90" t="s">
        <v>104</v>
      </c>
      <c r="G22" s="88" t="s">
        <v>105</v>
      </c>
      <c r="H22" s="90" t="s">
        <v>104</v>
      </c>
    </row>
    <row r="23" spans="1:8" x14ac:dyDescent="0.3">
      <c r="A23" s="48" t="s">
        <v>89</v>
      </c>
      <c r="B23" s="49" t="s">
        <v>30</v>
      </c>
      <c r="C23" s="49" t="s">
        <v>20</v>
      </c>
      <c r="D23" s="89" t="s">
        <v>104</v>
      </c>
      <c r="E23" s="91" t="s">
        <v>104</v>
      </c>
      <c r="F23" s="92" t="s">
        <v>105</v>
      </c>
      <c r="G23" s="88" t="s">
        <v>105</v>
      </c>
      <c r="H23" s="90" t="s">
        <v>104</v>
      </c>
    </row>
    <row r="24" spans="1:8" x14ac:dyDescent="0.3">
      <c r="A24" s="48" t="s">
        <v>89</v>
      </c>
      <c r="B24" s="49" t="s">
        <v>31</v>
      </c>
      <c r="C24" s="49" t="s">
        <v>19</v>
      </c>
      <c r="D24" s="89" t="s">
        <v>104</v>
      </c>
      <c r="E24" s="88" t="s">
        <v>105</v>
      </c>
      <c r="F24" s="90" t="s">
        <v>104</v>
      </c>
      <c r="G24" s="88" t="s">
        <v>105</v>
      </c>
      <c r="H24" s="90" t="s">
        <v>104</v>
      </c>
    </row>
    <row r="25" spans="1:8" x14ac:dyDescent="0.3">
      <c r="A25" s="48" t="s">
        <v>89</v>
      </c>
      <c r="B25" s="49" t="s">
        <v>31</v>
      </c>
      <c r="C25" s="49" t="s">
        <v>20</v>
      </c>
      <c r="D25" s="89" t="s">
        <v>104</v>
      </c>
      <c r="E25" s="91" t="s">
        <v>104</v>
      </c>
      <c r="F25" s="92" t="s">
        <v>105</v>
      </c>
      <c r="G25" s="88" t="s">
        <v>105</v>
      </c>
      <c r="H25" s="90" t="s">
        <v>104</v>
      </c>
    </row>
    <row r="26" spans="1:8" x14ac:dyDescent="0.3">
      <c r="A26" s="48" t="s">
        <v>89</v>
      </c>
      <c r="B26" s="49" t="s">
        <v>32</v>
      </c>
      <c r="C26" s="49" t="s">
        <v>19</v>
      </c>
      <c r="D26" s="89" t="s">
        <v>104</v>
      </c>
      <c r="E26" s="88" t="s">
        <v>105</v>
      </c>
      <c r="F26" s="90" t="s">
        <v>104</v>
      </c>
      <c r="G26" s="88" t="s">
        <v>105</v>
      </c>
      <c r="H26" s="90" t="s">
        <v>104</v>
      </c>
    </row>
    <row r="27" spans="1:8" x14ac:dyDescent="0.3">
      <c r="A27" s="48" t="s">
        <v>89</v>
      </c>
      <c r="B27" s="49" t="s">
        <v>32</v>
      </c>
      <c r="C27" s="49" t="s">
        <v>20</v>
      </c>
      <c r="D27" s="89" t="s">
        <v>104</v>
      </c>
      <c r="E27" s="91" t="s">
        <v>104</v>
      </c>
      <c r="F27" s="92" t="s">
        <v>105</v>
      </c>
      <c r="G27" s="88" t="s">
        <v>105</v>
      </c>
      <c r="H27" s="90" t="s">
        <v>104</v>
      </c>
    </row>
    <row r="28" spans="1:8" x14ac:dyDescent="0.3">
      <c r="A28" s="48" t="s">
        <v>89</v>
      </c>
      <c r="B28" s="49" t="s">
        <v>33</v>
      </c>
      <c r="C28" s="49" t="s">
        <v>19</v>
      </c>
      <c r="D28" s="89" t="s">
        <v>104</v>
      </c>
      <c r="E28" s="88" t="s">
        <v>105</v>
      </c>
      <c r="F28" s="90" t="s">
        <v>104</v>
      </c>
      <c r="G28" s="88" t="s">
        <v>105</v>
      </c>
      <c r="H28" s="90" t="s">
        <v>104</v>
      </c>
    </row>
    <row r="29" spans="1:8" x14ac:dyDescent="0.3">
      <c r="A29" s="48" t="s">
        <v>89</v>
      </c>
      <c r="B29" s="49" t="s">
        <v>33</v>
      </c>
      <c r="C29" s="49" t="s">
        <v>20</v>
      </c>
      <c r="D29" s="89" t="s">
        <v>104</v>
      </c>
      <c r="E29" s="91" t="s">
        <v>104</v>
      </c>
      <c r="F29" s="92" t="s">
        <v>105</v>
      </c>
      <c r="G29" s="88" t="s">
        <v>105</v>
      </c>
      <c r="H29" s="90" t="s">
        <v>104</v>
      </c>
    </row>
    <row r="30" spans="1:8" x14ac:dyDescent="0.3">
      <c r="A30" s="48" t="s">
        <v>34</v>
      </c>
      <c r="B30" s="61" t="s">
        <v>35</v>
      </c>
      <c r="C30" s="61"/>
      <c r="D30" s="89" t="s">
        <v>104</v>
      </c>
      <c r="E30" s="88" t="s">
        <v>105</v>
      </c>
      <c r="F30" s="90" t="s">
        <v>104</v>
      </c>
      <c r="G30" s="88" t="s">
        <v>105</v>
      </c>
      <c r="H30" s="90" t="s">
        <v>104</v>
      </c>
    </row>
    <row r="31" spans="1:8" x14ac:dyDescent="0.3">
      <c r="A31" s="48" t="s">
        <v>34</v>
      </c>
      <c r="B31" s="49" t="s">
        <v>36</v>
      </c>
      <c r="C31" s="49"/>
      <c r="D31" s="89" t="s">
        <v>104</v>
      </c>
      <c r="E31" s="91" t="s">
        <v>104</v>
      </c>
      <c r="F31" s="92" t="s">
        <v>105</v>
      </c>
      <c r="G31" s="90" t="s">
        <v>104</v>
      </c>
      <c r="H31" s="92" t="s">
        <v>105</v>
      </c>
    </row>
    <row r="32" spans="1:8" x14ac:dyDescent="0.3">
      <c r="A32" s="48" t="s">
        <v>34</v>
      </c>
      <c r="B32" s="62" t="s">
        <v>37</v>
      </c>
      <c r="C32" s="62"/>
      <c r="D32" s="89" t="s">
        <v>104</v>
      </c>
      <c r="E32" s="88" t="s">
        <v>105</v>
      </c>
      <c r="F32" s="90" t="s">
        <v>104</v>
      </c>
      <c r="G32" s="88" t="s">
        <v>105</v>
      </c>
      <c r="H32" s="90" t="s">
        <v>104</v>
      </c>
    </row>
    <row r="33" spans="1:8" x14ac:dyDescent="0.3">
      <c r="A33" s="48" t="s">
        <v>34</v>
      </c>
      <c r="B33" s="63" t="s">
        <v>38</v>
      </c>
      <c r="C33" s="63"/>
      <c r="D33" s="89" t="s">
        <v>104</v>
      </c>
      <c r="E33" s="88" t="s">
        <v>105</v>
      </c>
      <c r="F33" s="90" t="s">
        <v>104</v>
      </c>
      <c r="G33" s="88" t="s">
        <v>105</v>
      </c>
      <c r="H33" s="90" t="s">
        <v>104</v>
      </c>
    </row>
    <row r="34" spans="1:8" x14ac:dyDescent="0.3">
      <c r="A34" s="48" t="s">
        <v>34</v>
      </c>
      <c r="B34" s="63" t="s">
        <v>41</v>
      </c>
      <c r="C34" s="63"/>
      <c r="D34" s="89" t="s">
        <v>104</v>
      </c>
      <c r="E34" s="88" t="s">
        <v>105</v>
      </c>
      <c r="F34" s="90" t="s">
        <v>104</v>
      </c>
      <c r="G34" s="88" t="s">
        <v>105</v>
      </c>
      <c r="H34" s="90" t="s">
        <v>104</v>
      </c>
    </row>
    <row r="35" spans="1:8" x14ac:dyDescent="0.3">
      <c r="A35" s="66" t="s">
        <v>39</v>
      </c>
      <c r="B35" s="67" t="s">
        <v>66</v>
      </c>
      <c r="C35" s="67"/>
      <c r="D35" s="67" t="s">
        <v>105</v>
      </c>
      <c r="E35" s="90" t="s">
        <v>104</v>
      </c>
      <c r="F35" s="90" t="s">
        <v>104</v>
      </c>
      <c r="G35" s="90" t="s">
        <v>104</v>
      </c>
      <c r="H35" s="90" t="s">
        <v>104</v>
      </c>
    </row>
    <row r="36" spans="1:8" x14ac:dyDescent="0.3">
      <c r="A36" s="66" t="s">
        <v>39</v>
      </c>
      <c r="B36" s="67" t="s">
        <v>67</v>
      </c>
      <c r="C36" s="67"/>
      <c r="D36" s="67" t="s">
        <v>105</v>
      </c>
      <c r="E36" s="90" t="s">
        <v>104</v>
      </c>
      <c r="F36" s="90" t="s">
        <v>104</v>
      </c>
      <c r="G36" s="90" t="s">
        <v>104</v>
      </c>
      <c r="H36" s="90" t="s">
        <v>104</v>
      </c>
    </row>
    <row r="37" spans="1:8" x14ac:dyDescent="0.3">
      <c r="A37" s="66" t="s">
        <v>39</v>
      </c>
      <c r="B37" s="67" t="s">
        <v>68</v>
      </c>
      <c r="C37" s="67"/>
      <c r="D37" s="67" t="s">
        <v>105</v>
      </c>
      <c r="E37" s="90" t="s">
        <v>104</v>
      </c>
      <c r="F37" s="90" t="s">
        <v>104</v>
      </c>
      <c r="G37" s="90" t="s">
        <v>104</v>
      </c>
      <c r="H37" s="90" t="s">
        <v>104</v>
      </c>
    </row>
    <row r="38" spans="1:8" x14ac:dyDescent="0.3">
      <c r="A38" s="66" t="s">
        <v>39</v>
      </c>
      <c r="B38" s="67" t="s">
        <v>81</v>
      </c>
      <c r="C38" s="67"/>
      <c r="D38" s="67" t="s">
        <v>105</v>
      </c>
      <c r="E38" s="90" t="s">
        <v>104</v>
      </c>
      <c r="F38" s="90" t="s">
        <v>104</v>
      </c>
      <c r="G38" s="90" t="s">
        <v>104</v>
      </c>
      <c r="H38" s="90" t="s">
        <v>104</v>
      </c>
    </row>
    <row r="39" spans="1:8" ht="27.6" x14ac:dyDescent="0.3">
      <c r="A39" s="66" t="s">
        <v>39</v>
      </c>
      <c r="B39" s="67" t="s">
        <v>69</v>
      </c>
      <c r="C39" s="67"/>
      <c r="D39" s="67" t="s">
        <v>105</v>
      </c>
      <c r="E39" s="90" t="s">
        <v>104</v>
      </c>
      <c r="F39" s="90" t="s">
        <v>104</v>
      </c>
      <c r="G39" s="90" t="s">
        <v>104</v>
      </c>
      <c r="H39" s="90" t="s">
        <v>104</v>
      </c>
    </row>
    <row r="40" spans="1:8" x14ac:dyDescent="0.3">
      <c r="A40" s="66" t="s">
        <v>39</v>
      </c>
      <c r="B40" s="67" t="s">
        <v>71</v>
      </c>
      <c r="C40" s="67"/>
      <c r="D40" s="67" t="s">
        <v>105</v>
      </c>
      <c r="E40" s="90" t="s">
        <v>104</v>
      </c>
      <c r="F40" s="90" t="s">
        <v>104</v>
      </c>
      <c r="G40" s="90" t="s">
        <v>104</v>
      </c>
      <c r="H40" s="90" t="s">
        <v>104</v>
      </c>
    </row>
    <row r="41" spans="1:8" x14ac:dyDescent="0.3">
      <c r="A41" s="66" t="s">
        <v>39</v>
      </c>
      <c r="B41" s="67" t="s">
        <v>72</v>
      </c>
      <c r="C41" s="67"/>
      <c r="D41" s="67" t="s">
        <v>105</v>
      </c>
      <c r="E41" s="90" t="s">
        <v>104</v>
      </c>
      <c r="F41" s="90" t="s">
        <v>104</v>
      </c>
      <c r="G41" s="90" t="s">
        <v>104</v>
      </c>
      <c r="H41" s="90" t="s">
        <v>104</v>
      </c>
    </row>
    <row r="42" spans="1:8" x14ac:dyDescent="0.3">
      <c r="A42" s="65" t="s">
        <v>84</v>
      </c>
      <c r="B42" s="64" t="s">
        <v>70</v>
      </c>
      <c r="C42" s="64"/>
      <c r="D42" s="89" t="s">
        <v>104</v>
      </c>
      <c r="E42" s="90" t="s">
        <v>104</v>
      </c>
      <c r="F42" s="90" t="s">
        <v>104</v>
      </c>
      <c r="G42" s="90" t="s">
        <v>104</v>
      </c>
      <c r="H42" s="90" t="s">
        <v>104</v>
      </c>
    </row>
    <row r="43" spans="1:8" x14ac:dyDescent="0.3">
      <c r="A43" s="70" t="s">
        <v>91</v>
      </c>
      <c r="B43" s="71" t="s">
        <v>58</v>
      </c>
      <c r="C43" s="71"/>
      <c r="D43" s="89" t="s">
        <v>104</v>
      </c>
      <c r="E43" s="90" t="s">
        <v>104</v>
      </c>
      <c r="F43" s="90" t="s">
        <v>104</v>
      </c>
      <c r="G43" s="90" t="s">
        <v>104</v>
      </c>
      <c r="H43" s="90" t="s">
        <v>104</v>
      </c>
    </row>
    <row r="44" spans="1:8" x14ac:dyDescent="0.3">
      <c r="A44" s="74" t="s">
        <v>73</v>
      </c>
      <c r="B44" s="71" t="s">
        <v>42</v>
      </c>
      <c r="C44" s="71"/>
      <c r="D44" s="89" t="s">
        <v>104</v>
      </c>
      <c r="E44" s="90" t="s">
        <v>104</v>
      </c>
      <c r="F44" s="90" t="s">
        <v>104</v>
      </c>
      <c r="G44" s="90" t="s">
        <v>104</v>
      </c>
      <c r="H44" s="90" t="s">
        <v>104</v>
      </c>
    </row>
    <row r="45" spans="1:8" x14ac:dyDescent="0.3">
      <c r="A45" s="74" t="s">
        <v>73</v>
      </c>
      <c r="B45" s="71" t="s">
        <v>43</v>
      </c>
      <c r="C45" s="71"/>
      <c r="D45" s="89" t="s">
        <v>104</v>
      </c>
      <c r="E45" s="90" t="s">
        <v>104</v>
      </c>
      <c r="F45" s="90" t="s">
        <v>104</v>
      </c>
      <c r="G45" s="90" t="s">
        <v>104</v>
      </c>
      <c r="H45" s="90" t="s">
        <v>104</v>
      </c>
    </row>
    <row r="46" spans="1:8" x14ac:dyDescent="0.3">
      <c r="A46" s="84" t="s">
        <v>74</v>
      </c>
      <c r="B46" s="85" t="s">
        <v>44</v>
      </c>
      <c r="C46" s="85"/>
      <c r="D46" s="89" t="s">
        <v>104</v>
      </c>
      <c r="E46" s="90" t="s">
        <v>104</v>
      </c>
      <c r="F46" s="90" t="s">
        <v>104</v>
      </c>
      <c r="G46" s="90" t="s">
        <v>104</v>
      </c>
      <c r="H46" s="90" t="s">
        <v>104</v>
      </c>
    </row>
    <row r="47" spans="1:8" x14ac:dyDescent="0.3">
      <c r="A47" s="75" t="s">
        <v>75</v>
      </c>
      <c r="B47" s="76" t="s">
        <v>45</v>
      </c>
      <c r="C47" s="76"/>
      <c r="D47" s="89" t="s">
        <v>104</v>
      </c>
      <c r="E47" s="90" t="s">
        <v>104</v>
      </c>
      <c r="F47" s="92" t="s">
        <v>105</v>
      </c>
      <c r="G47" s="90" t="s">
        <v>104</v>
      </c>
      <c r="H47" s="92" t="s">
        <v>105</v>
      </c>
    </row>
    <row r="48" spans="1:8" x14ac:dyDescent="0.3">
      <c r="A48" s="79" t="s">
        <v>76</v>
      </c>
      <c r="B48" s="80" t="s">
        <v>48</v>
      </c>
      <c r="C48" s="80"/>
      <c r="D48" s="89" t="s">
        <v>104</v>
      </c>
      <c r="E48" s="90" t="s">
        <v>104</v>
      </c>
      <c r="F48" s="90" t="s">
        <v>104</v>
      </c>
      <c r="G48" s="90" t="s">
        <v>104</v>
      </c>
      <c r="H48" s="90" t="s">
        <v>104</v>
      </c>
    </row>
    <row r="49" spans="1:8" x14ac:dyDescent="0.3">
      <c r="A49" s="79" t="s">
        <v>76</v>
      </c>
      <c r="B49" s="80" t="s">
        <v>77</v>
      </c>
      <c r="C49" s="80"/>
      <c r="D49" s="89" t="s">
        <v>104</v>
      </c>
      <c r="E49" s="90" t="s">
        <v>104</v>
      </c>
      <c r="F49" s="90" t="s">
        <v>104</v>
      </c>
      <c r="G49" s="90" t="s">
        <v>104</v>
      </c>
      <c r="H49" s="90" t="s">
        <v>104</v>
      </c>
    </row>
    <row r="50" spans="1:8" x14ac:dyDescent="0.3">
      <c r="A50" s="79" t="s">
        <v>41</v>
      </c>
      <c r="B50" s="83" t="s">
        <v>78</v>
      </c>
      <c r="C50" s="83"/>
      <c r="D50" s="89" t="s">
        <v>104</v>
      </c>
      <c r="E50" s="90" t="s">
        <v>104</v>
      </c>
      <c r="F50" s="92" t="s">
        <v>105</v>
      </c>
      <c r="G50" s="90" t="s">
        <v>104</v>
      </c>
      <c r="H50" s="92" t="s">
        <v>105</v>
      </c>
    </row>
    <row r="51" spans="1:8" x14ac:dyDescent="0.3">
      <c r="A51" s="79" t="s">
        <v>41</v>
      </c>
      <c r="B51" s="83" t="s">
        <v>79</v>
      </c>
      <c r="C51" s="83"/>
      <c r="D51" s="89" t="s">
        <v>104</v>
      </c>
      <c r="E51" s="90" t="s">
        <v>104</v>
      </c>
      <c r="F51" s="92" t="s">
        <v>105</v>
      </c>
      <c r="G51" s="90" t="s">
        <v>104</v>
      </c>
      <c r="H51" s="92" t="s">
        <v>105</v>
      </c>
    </row>
    <row r="52" spans="1:8" x14ac:dyDescent="0.3">
      <c r="A52" s="79" t="s">
        <v>41</v>
      </c>
      <c r="B52" s="83" t="s">
        <v>46</v>
      </c>
      <c r="C52" s="83"/>
      <c r="D52" s="89" t="s">
        <v>104</v>
      </c>
      <c r="E52" s="90" t="s">
        <v>104</v>
      </c>
      <c r="F52" s="92" t="s">
        <v>105</v>
      </c>
      <c r="G52" s="90" t="s">
        <v>104</v>
      </c>
      <c r="H52" s="92" t="s">
        <v>105</v>
      </c>
    </row>
    <row r="53" spans="1:8" x14ac:dyDescent="0.3">
      <c r="A53" s="79" t="s">
        <v>41</v>
      </c>
      <c r="B53" s="83" t="s">
        <v>47</v>
      </c>
      <c r="C53" s="83"/>
      <c r="D53" s="89" t="s">
        <v>104</v>
      </c>
      <c r="E53" s="90" t="s">
        <v>104</v>
      </c>
      <c r="F53" s="92" t="s">
        <v>105</v>
      </c>
      <c r="G53" s="90" t="s">
        <v>104</v>
      </c>
      <c r="H53" s="92" t="s">
        <v>105</v>
      </c>
    </row>
    <row r="54" spans="1:8" x14ac:dyDescent="0.3">
      <c r="A54" s="79" t="s">
        <v>41</v>
      </c>
      <c r="B54" s="80" t="s">
        <v>49</v>
      </c>
      <c r="C54" s="80"/>
      <c r="D54" s="89" t="s">
        <v>104</v>
      </c>
      <c r="E54" s="90" t="s">
        <v>104</v>
      </c>
      <c r="F54" s="92" t="s">
        <v>105</v>
      </c>
      <c r="G54" s="90" t="s">
        <v>104</v>
      </c>
      <c r="H54" s="92" t="s">
        <v>105</v>
      </c>
    </row>
    <row r="55" spans="1:8" x14ac:dyDescent="0.3">
      <c r="A55" s="79" t="s">
        <v>41</v>
      </c>
      <c r="B55" s="83" t="s">
        <v>80</v>
      </c>
      <c r="C55" s="83"/>
      <c r="D55" s="89" t="s">
        <v>104</v>
      </c>
      <c r="E55" s="90" t="s">
        <v>104</v>
      </c>
      <c r="F55" s="92" t="s">
        <v>105</v>
      </c>
      <c r="G55" s="90" t="s">
        <v>104</v>
      </c>
      <c r="H55" s="92" t="s">
        <v>105</v>
      </c>
    </row>
  </sheetData>
  <autoFilter ref="A1:H5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Notas Aclaratorias</vt:lpstr>
      <vt:lpstr>FICHA DE CARACTERIZACION A 3.1</vt:lpstr>
      <vt:lpstr>FICHA GN A3.2</vt:lpstr>
      <vt:lpstr>TABLA RECOPILATORIA A3.3</vt:lpstr>
      <vt:lpstr>LISTA DE RESIDUOS</vt:lpstr>
      <vt:lpstr>SOLICITADOS_FRACCION</vt:lpstr>
    </vt:vector>
  </TitlesOfParts>
  <Company>Gobierno de Navarra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X080988</dc:creator>
  <cp:lastModifiedBy>d039819</cp:lastModifiedBy>
  <dcterms:created xsi:type="dcterms:W3CDTF">2022-09-26T06:54:57Z</dcterms:created>
  <dcterms:modified xsi:type="dcterms:W3CDTF">2023-05-31T12:35:52Z</dcterms:modified>
</cp:coreProperties>
</file>