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RESIDUOS\Caracterizaciones\2023\Ficha medio ambiente\"/>
    </mc:Choice>
  </mc:AlternateContent>
  <bookViews>
    <workbookView xWindow="0" yWindow="0" windowWidth="23040" windowHeight="9216" tabRatio="815"/>
  </bookViews>
  <sheets>
    <sheet name="Notas Aclaratorias" sheetId="7" r:id="rId1"/>
    <sheet name="FICHA DE CARACTERIZACION A 3.1" sheetId="2" r:id="rId2"/>
    <sheet name="FICHA GN A3.2" sheetId="1" r:id="rId3"/>
    <sheet name="TABLA RECOPILATORIA A3.3" sheetId="5" r:id="rId4"/>
    <sheet name="LISTA DE RESIDUOS" sheetId="6" r:id="rId5"/>
    <sheet name="SOLICITADOS_FRACCION" sheetId="4" r:id="rId6"/>
  </sheets>
  <definedNames>
    <definedName name="_xlnm._FilterDatabase" localSheetId="1" hidden="1">'FICHA DE CARACTERIZACION A 3.1'!$A$15:$N$177</definedName>
    <definedName name="_xlnm._FilterDatabase" localSheetId="5" hidden="1">SOLICITADOS_FRACCION!$A$1:$H$55</definedName>
  </definedNames>
  <calcPr calcId="162913"/>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U2" i="5" l="1"/>
  <c r="BT2" i="5"/>
  <c r="BS2" i="5"/>
  <c r="BR2" i="5"/>
  <c r="BQ2" i="5"/>
  <c r="BP2" i="5"/>
  <c r="BO2" i="5"/>
  <c r="BN2" i="5"/>
  <c r="BM2" i="5"/>
  <c r="BL2" i="5"/>
  <c r="BK2" i="5"/>
  <c r="BJ2" i="5"/>
  <c r="BI2" i="5"/>
  <c r="BH2" i="5"/>
  <c r="BG2" i="5"/>
  <c r="BF2" i="5"/>
  <c r="BE2" i="5"/>
  <c r="BD2" i="5"/>
  <c r="N2" i="5" l="1"/>
  <c r="M2" i="5"/>
  <c r="L2" i="5"/>
  <c r="K2" i="5"/>
  <c r="J2" i="5"/>
  <c r="I2" i="5"/>
  <c r="H2" i="5"/>
  <c r="G2" i="5"/>
  <c r="F2" i="5"/>
  <c r="E2" i="5"/>
  <c r="D2" i="5"/>
  <c r="C2" i="5"/>
  <c r="AY2" i="5"/>
  <c r="AS2" i="5"/>
  <c r="AK2" i="5"/>
  <c r="AU2" i="5"/>
  <c r="AI2" i="5"/>
  <c r="BB2" i="5"/>
  <c r="AV2" i="5"/>
  <c r="AM2" i="5"/>
  <c r="AT2" i="5"/>
  <c r="AX2" i="5"/>
  <c r="AR2" i="5"/>
  <c r="AJ2" i="5"/>
  <c r="AQ2" i="5"/>
  <c r="AG2" i="5"/>
  <c r="AN2" i="5"/>
  <c r="AF2" i="5"/>
  <c r="AC2" i="5"/>
  <c r="AL2" i="5"/>
  <c r="AE2" i="5"/>
  <c r="AP2" i="5"/>
  <c r="AH2" i="5"/>
  <c r="BC2" i="5"/>
  <c r="AD2" i="5"/>
  <c r="AO2" i="5"/>
  <c r="AW2" i="5"/>
  <c r="BA2" i="5"/>
  <c r="AZ2" i="5"/>
  <c r="AB2" i="5"/>
  <c r="W2" i="5"/>
  <c r="V2" i="5"/>
  <c r="U2" i="5"/>
  <c r="T2" i="5"/>
  <c r="AA2" i="5"/>
  <c r="Z2" i="5"/>
  <c r="R2" i="5"/>
  <c r="P2" i="5"/>
  <c r="S2" i="5"/>
  <c r="Y2" i="5"/>
  <c r="Q2" i="5"/>
  <c r="X2" i="5"/>
  <c r="E21" i="6" l="1"/>
  <c r="E22" i="6"/>
  <c r="E23" i="6"/>
  <c r="E24" i="6"/>
  <c r="E25" i="6"/>
  <c r="E26" i="6"/>
  <c r="E27" i="6"/>
  <c r="E28" i="6"/>
  <c r="E29" i="6"/>
  <c r="E30" i="6"/>
  <c r="E31" i="6"/>
  <c r="E32" i="6"/>
  <c r="E33" i="6"/>
  <c r="E34" i="6"/>
  <c r="E35" i="6"/>
  <c r="E36" i="6"/>
  <c r="E20" i="6"/>
  <c r="D21" i="6"/>
  <c r="D22" i="6"/>
  <c r="D23" i="6"/>
  <c r="D24" i="6"/>
  <c r="D25" i="6"/>
  <c r="D26" i="6"/>
  <c r="D27" i="6"/>
  <c r="D28" i="6"/>
  <c r="D29" i="6"/>
  <c r="D30" i="6"/>
  <c r="D31" i="6"/>
  <c r="D32" i="6"/>
  <c r="D33" i="6"/>
  <c r="D34" i="6"/>
  <c r="D35" i="6"/>
  <c r="D36" i="6"/>
  <c r="D20" i="6"/>
  <c r="E17" i="2" l="1"/>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6" i="2"/>
  <c r="B2" i="5" l="1"/>
  <c r="H17" i="2"/>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H46" i="2" s="1"/>
  <c r="H47" i="2" s="1"/>
  <c r="H48" i="2" s="1"/>
  <c r="H49" i="2" s="1"/>
  <c r="H50" i="2" s="1"/>
  <c r="H51" i="2" s="1"/>
  <c r="H52" i="2" s="1"/>
  <c r="H53" i="2" s="1"/>
  <c r="H54" i="2" s="1"/>
  <c r="H55" i="2" s="1"/>
  <c r="H56" i="2" s="1"/>
  <c r="H57" i="2" s="1"/>
  <c r="H58" i="2" s="1"/>
  <c r="H59" i="2" s="1"/>
  <c r="H60" i="2" s="1"/>
  <c r="H61" i="2" s="1"/>
  <c r="H62" i="2" s="1"/>
  <c r="H63" i="2" s="1"/>
  <c r="H64" i="2" s="1"/>
  <c r="H65" i="2" s="1"/>
  <c r="H66" i="2" s="1"/>
  <c r="H67" i="2" s="1"/>
  <c r="H68" i="2" s="1"/>
  <c r="H69" i="2" s="1"/>
  <c r="H70" i="2" s="1"/>
  <c r="H71" i="2" s="1"/>
  <c r="H72" i="2" s="1"/>
  <c r="H73" i="2" s="1"/>
  <c r="H74" i="2" s="1"/>
  <c r="H75" i="2" s="1"/>
  <c r="H76" i="2" s="1"/>
  <c r="H77" i="2" s="1"/>
  <c r="H78" i="2" s="1"/>
  <c r="H79" i="2" s="1"/>
  <c r="H80" i="2" s="1"/>
  <c r="H81" i="2" s="1"/>
  <c r="H82" i="2" s="1"/>
  <c r="H83" i="2" s="1"/>
  <c r="H84" i="2" s="1"/>
  <c r="H85" i="2" s="1"/>
  <c r="H86" i="2" s="1"/>
  <c r="H87" i="2" s="1"/>
  <c r="H88" i="2" s="1"/>
  <c r="H89" i="2" s="1"/>
  <c r="H90" i="2" s="1"/>
  <c r="H91" i="2" s="1"/>
  <c r="H92" i="2" s="1"/>
  <c r="H93" i="2" s="1"/>
  <c r="H94" i="2" s="1"/>
  <c r="H95" i="2" s="1"/>
  <c r="H96" i="2" s="1"/>
  <c r="H97" i="2" s="1"/>
  <c r="H98" i="2" s="1"/>
  <c r="H99" i="2" s="1"/>
  <c r="H100" i="2" s="1"/>
  <c r="H101" i="2" s="1"/>
  <c r="H102" i="2" s="1"/>
  <c r="H103" i="2" s="1"/>
  <c r="H104" i="2" s="1"/>
  <c r="H105" i="2" s="1"/>
  <c r="H106" i="2" s="1"/>
  <c r="H107" i="2" s="1"/>
  <c r="H108" i="2" s="1"/>
  <c r="H109" i="2" s="1"/>
  <c r="H110" i="2" s="1"/>
  <c r="H111" i="2" s="1"/>
  <c r="H112" i="2" s="1"/>
  <c r="H113" i="2" s="1"/>
  <c r="H114" i="2" s="1"/>
  <c r="H115" i="2" s="1"/>
  <c r="H116" i="2" s="1"/>
  <c r="H117" i="2" s="1"/>
  <c r="H118" i="2" s="1"/>
  <c r="H119" i="2" s="1"/>
  <c r="H120" i="2" s="1"/>
  <c r="H121" i="2" s="1"/>
  <c r="H122" i="2" s="1"/>
  <c r="H123" i="2" s="1"/>
  <c r="H124" i="2" s="1"/>
  <c r="H125" i="2" s="1"/>
  <c r="H126" i="2" s="1"/>
  <c r="H127" i="2" s="1"/>
  <c r="H128" i="2" s="1"/>
  <c r="H129" i="2" s="1"/>
  <c r="H130" i="2" s="1"/>
  <c r="H131" i="2" s="1"/>
  <c r="H132" i="2" s="1"/>
  <c r="H133" i="2" s="1"/>
  <c r="H134" i="2" s="1"/>
  <c r="H135" i="2" s="1"/>
  <c r="H136" i="2" s="1"/>
  <c r="H137" i="2" s="1"/>
  <c r="H138" i="2" s="1"/>
  <c r="H139" i="2" s="1"/>
  <c r="H140" i="2" s="1"/>
  <c r="H141" i="2" s="1"/>
  <c r="H142" i="2" s="1"/>
  <c r="H143" i="2" s="1"/>
  <c r="H144" i="2" s="1"/>
  <c r="H145" i="2" s="1"/>
  <c r="H146" i="2" s="1"/>
  <c r="H147" i="2" s="1"/>
  <c r="H148" i="2" s="1"/>
  <c r="H149" i="2" s="1"/>
  <c r="H150" i="2" s="1"/>
  <c r="H151" i="2" s="1"/>
  <c r="H152" i="2" s="1"/>
  <c r="H153" i="2" s="1"/>
  <c r="H154" i="2" s="1"/>
  <c r="H155" i="2" s="1"/>
  <c r="H156" i="2" s="1"/>
  <c r="H157" i="2" s="1"/>
  <c r="H158" i="2" s="1"/>
  <c r="H159" i="2" s="1"/>
  <c r="H160" i="2" s="1"/>
  <c r="H161" i="2" s="1"/>
  <c r="H162" i="2" s="1"/>
  <c r="H163" i="2" s="1"/>
  <c r="H164" i="2" s="1"/>
  <c r="H165" i="2" s="1"/>
  <c r="H166" i="2" s="1"/>
  <c r="H167" i="2" s="1"/>
  <c r="H168" i="2" s="1"/>
  <c r="H169" i="2" s="1"/>
  <c r="H170" i="2" s="1"/>
  <c r="H171" i="2" s="1"/>
  <c r="H172" i="2" s="1"/>
  <c r="H173" i="2" s="1"/>
  <c r="H174" i="2" s="1"/>
  <c r="H175" i="2" s="1"/>
  <c r="H176" i="2" s="1"/>
  <c r="H177" i="2" s="1"/>
  <c r="O177" i="2" l="1"/>
  <c r="M177" i="2" s="1"/>
  <c r="H66" i="1" s="1"/>
  <c r="O176" i="2"/>
  <c r="M176" i="2" s="1"/>
  <c r="H65" i="1" s="1"/>
  <c r="O175" i="2"/>
  <c r="M175" i="2" s="1"/>
  <c r="H64" i="1" s="1"/>
  <c r="O174" i="2"/>
  <c r="M174" i="2" s="1"/>
  <c r="H63" i="1" s="1"/>
  <c r="O173" i="2"/>
  <c r="M173" i="2" s="1"/>
  <c r="H62" i="1" s="1"/>
  <c r="O172" i="2"/>
  <c r="M172" i="2" s="1"/>
  <c r="H61" i="1" s="1"/>
  <c r="O171" i="2"/>
  <c r="M171" i="2" s="1"/>
  <c r="H60" i="1" s="1"/>
  <c r="O170" i="2"/>
  <c r="M170" i="2" s="1"/>
  <c r="H59" i="1" s="1"/>
  <c r="O169" i="2"/>
  <c r="M169" i="2" s="1"/>
  <c r="H58" i="1" s="1"/>
  <c r="O168" i="2"/>
  <c r="M168" i="2" s="1"/>
  <c r="H57" i="1" s="1"/>
  <c r="O167" i="2"/>
  <c r="M167" i="2" s="1"/>
  <c r="H56" i="1" s="1"/>
  <c r="O166" i="2"/>
  <c r="M166" i="2" s="1"/>
  <c r="H55" i="1" s="1"/>
  <c r="O165" i="2"/>
  <c r="M165" i="2" s="1"/>
  <c r="H54" i="1" s="1"/>
  <c r="O164" i="2"/>
  <c r="M164" i="2" s="1"/>
  <c r="H53" i="1" s="1"/>
  <c r="O163" i="2"/>
  <c r="M163" i="2" s="1"/>
  <c r="H52" i="1" s="1"/>
  <c r="O162" i="2"/>
  <c r="M162" i="2" s="1"/>
  <c r="H51" i="1" s="1"/>
  <c r="O161" i="2"/>
  <c r="M161" i="2" s="1"/>
  <c r="H50" i="1" s="1"/>
  <c r="O160" i="2"/>
  <c r="M160" i="2" s="1"/>
  <c r="H49" i="1" s="1"/>
  <c r="O159" i="2"/>
  <c r="M159" i="2" s="1"/>
  <c r="H48" i="1" s="1"/>
  <c r="O158" i="2"/>
  <c r="M158" i="2" s="1"/>
  <c r="H47" i="1" s="1"/>
  <c r="O157" i="2"/>
  <c r="M157" i="2" s="1"/>
  <c r="H46" i="1" s="1"/>
  <c r="O156" i="2"/>
  <c r="M156" i="2" s="1"/>
  <c r="H45" i="1" s="1"/>
  <c r="O155" i="2"/>
  <c r="M155" i="2" s="1"/>
  <c r="H44" i="1" s="1"/>
  <c r="O154" i="2"/>
  <c r="M154" i="2" s="1"/>
  <c r="H43" i="1" s="1"/>
  <c r="O153" i="2"/>
  <c r="M153" i="2" s="1"/>
  <c r="H42" i="1" s="1"/>
  <c r="O152" i="2"/>
  <c r="M152" i="2" s="1"/>
  <c r="H41" i="1" s="1"/>
  <c r="O151" i="2"/>
  <c r="M151" i="2" s="1"/>
  <c r="H40" i="1" s="1"/>
  <c r="O150" i="2"/>
  <c r="M150" i="2" s="1"/>
  <c r="H39" i="1" s="1"/>
  <c r="O149" i="2"/>
  <c r="M149" i="2" s="1"/>
  <c r="H38" i="1" s="1"/>
  <c r="O148" i="2"/>
  <c r="M148" i="2" s="1"/>
  <c r="H37" i="1" s="1"/>
  <c r="O147" i="2"/>
  <c r="M147" i="2" s="1"/>
  <c r="H36" i="1" s="1"/>
  <c r="O146" i="2"/>
  <c r="M146" i="2" s="1"/>
  <c r="H35" i="1" s="1"/>
  <c r="O145" i="2"/>
  <c r="M145" i="2" s="1"/>
  <c r="H34" i="1" s="1"/>
  <c r="O144" i="2"/>
  <c r="M144" i="2" s="1"/>
  <c r="H33" i="1" s="1"/>
  <c r="O143" i="2"/>
  <c r="M143" i="2" s="1"/>
  <c r="H32" i="1" s="1"/>
  <c r="O142" i="2"/>
  <c r="M142" i="2" s="1"/>
  <c r="H31" i="1" s="1"/>
  <c r="O141" i="2"/>
  <c r="M141" i="2" s="1"/>
  <c r="H30" i="1" s="1"/>
  <c r="O140" i="2"/>
  <c r="M140" i="2" s="1"/>
  <c r="H29" i="1" s="1"/>
  <c r="O139" i="2"/>
  <c r="M139" i="2" s="1"/>
  <c r="H28" i="1" s="1"/>
  <c r="O138" i="2"/>
  <c r="M138" i="2" s="1"/>
  <c r="H27" i="1" s="1"/>
  <c r="O137" i="2"/>
  <c r="M137" i="2" s="1"/>
  <c r="H26" i="1" s="1"/>
  <c r="O136" i="2"/>
  <c r="M136" i="2" s="1"/>
  <c r="H25" i="1" s="1"/>
  <c r="O135" i="2"/>
  <c r="M135" i="2" s="1"/>
  <c r="H24" i="1" s="1"/>
  <c r="O134" i="2"/>
  <c r="M134" i="2" s="1"/>
  <c r="H23" i="1" s="1"/>
  <c r="O133" i="2"/>
  <c r="M133" i="2" s="1"/>
  <c r="H22" i="1" s="1"/>
  <c r="O132" i="2"/>
  <c r="M132" i="2" s="1"/>
  <c r="H21" i="1" s="1"/>
  <c r="O131" i="2"/>
  <c r="M131" i="2" s="1"/>
  <c r="H20" i="1" s="1"/>
  <c r="O130" i="2"/>
  <c r="M130" i="2" s="1"/>
  <c r="H19" i="1" s="1"/>
  <c r="O129" i="2"/>
  <c r="M129" i="2" s="1"/>
  <c r="H18" i="1" s="1"/>
  <c r="O128" i="2"/>
  <c r="M128" i="2" s="1"/>
  <c r="H17" i="1" s="1"/>
  <c r="O127" i="2"/>
  <c r="M127" i="2" s="1"/>
  <c r="H16" i="1" s="1"/>
  <c r="O126" i="2"/>
  <c r="M126" i="2" s="1"/>
  <c r="H15" i="1" s="1"/>
  <c r="O125" i="2"/>
  <c r="M125" i="2" s="1"/>
  <c r="H14" i="1" s="1"/>
  <c r="O124" i="2"/>
  <c r="M124" i="2" s="1"/>
  <c r="H13" i="1" s="1"/>
  <c r="O123" i="2"/>
  <c r="M123" i="2" s="1"/>
  <c r="F66" i="1" s="1"/>
  <c r="O122" i="2"/>
  <c r="M122" i="2" s="1"/>
  <c r="F65" i="1" s="1"/>
  <c r="O121" i="2"/>
  <c r="M121" i="2" s="1"/>
  <c r="F64" i="1" s="1"/>
  <c r="O120" i="2"/>
  <c r="M120" i="2" s="1"/>
  <c r="F63" i="1" s="1"/>
  <c r="O119" i="2"/>
  <c r="M119" i="2" s="1"/>
  <c r="F62" i="1" s="1"/>
  <c r="O118" i="2"/>
  <c r="M118" i="2" s="1"/>
  <c r="F61" i="1" s="1"/>
  <c r="O117" i="2"/>
  <c r="M117" i="2" s="1"/>
  <c r="F60" i="1" s="1"/>
  <c r="O116" i="2"/>
  <c r="M116" i="2" s="1"/>
  <c r="F59" i="1" s="1"/>
  <c r="O115" i="2"/>
  <c r="M115" i="2" s="1"/>
  <c r="F58" i="1" s="1"/>
  <c r="O114" i="2"/>
  <c r="M114" i="2" s="1"/>
  <c r="F57" i="1" s="1"/>
  <c r="O113" i="2"/>
  <c r="M113" i="2" s="1"/>
  <c r="F56" i="1" s="1"/>
  <c r="O112" i="2"/>
  <c r="M112" i="2" s="1"/>
  <c r="F55" i="1" s="1"/>
  <c r="O111" i="2"/>
  <c r="M111" i="2" s="1"/>
  <c r="F54" i="1" s="1"/>
  <c r="O110" i="2"/>
  <c r="M110" i="2" s="1"/>
  <c r="F53" i="1" s="1"/>
  <c r="O109" i="2"/>
  <c r="M109" i="2" s="1"/>
  <c r="F52" i="1" s="1"/>
  <c r="O108" i="2"/>
  <c r="M108" i="2" s="1"/>
  <c r="F51" i="1" s="1"/>
  <c r="O107" i="2"/>
  <c r="M107" i="2" s="1"/>
  <c r="F50" i="1" s="1"/>
  <c r="O106" i="2"/>
  <c r="M106" i="2" s="1"/>
  <c r="F49" i="1" s="1"/>
  <c r="O105" i="2"/>
  <c r="M105" i="2" s="1"/>
  <c r="F48" i="1" s="1"/>
  <c r="O104" i="2"/>
  <c r="M104" i="2" s="1"/>
  <c r="F47" i="1" s="1"/>
  <c r="O103" i="2"/>
  <c r="M103" i="2" s="1"/>
  <c r="F46" i="1" s="1"/>
  <c r="O102" i="2"/>
  <c r="M102" i="2" s="1"/>
  <c r="F45" i="1" s="1"/>
  <c r="O101" i="2"/>
  <c r="M101" i="2" s="1"/>
  <c r="F44" i="1" s="1"/>
  <c r="O100" i="2"/>
  <c r="M100" i="2" s="1"/>
  <c r="F43" i="1" s="1"/>
  <c r="O99" i="2"/>
  <c r="M99" i="2" s="1"/>
  <c r="F42" i="1" s="1"/>
  <c r="O98" i="2"/>
  <c r="M98" i="2" s="1"/>
  <c r="F41" i="1" s="1"/>
  <c r="O97" i="2"/>
  <c r="M97" i="2" s="1"/>
  <c r="F40" i="1" s="1"/>
  <c r="O96" i="2"/>
  <c r="M96" i="2" s="1"/>
  <c r="F39" i="1" s="1"/>
  <c r="O95" i="2"/>
  <c r="M95" i="2" s="1"/>
  <c r="F38" i="1" s="1"/>
  <c r="O94" i="2"/>
  <c r="M94" i="2" s="1"/>
  <c r="F37" i="1" s="1"/>
  <c r="O93" i="2"/>
  <c r="M93" i="2" s="1"/>
  <c r="F36" i="1" s="1"/>
  <c r="O92" i="2"/>
  <c r="M92" i="2" s="1"/>
  <c r="F35" i="1" s="1"/>
  <c r="O91" i="2"/>
  <c r="M91" i="2" s="1"/>
  <c r="F34" i="1" s="1"/>
  <c r="O90" i="2"/>
  <c r="M90" i="2" s="1"/>
  <c r="F33" i="1" s="1"/>
  <c r="O89" i="2"/>
  <c r="M89" i="2" s="1"/>
  <c r="F32" i="1" s="1"/>
  <c r="O88" i="2"/>
  <c r="M88" i="2" s="1"/>
  <c r="F31" i="1" s="1"/>
  <c r="O87" i="2"/>
  <c r="M87" i="2" s="1"/>
  <c r="F30" i="1" s="1"/>
  <c r="O86" i="2"/>
  <c r="M86" i="2" s="1"/>
  <c r="F29" i="1" s="1"/>
  <c r="O85" i="2"/>
  <c r="M85" i="2" s="1"/>
  <c r="F28" i="1" s="1"/>
  <c r="O84" i="2"/>
  <c r="M84" i="2" s="1"/>
  <c r="F27" i="1" s="1"/>
  <c r="O83" i="2"/>
  <c r="M83" i="2" s="1"/>
  <c r="F26" i="1" s="1"/>
  <c r="O82" i="2"/>
  <c r="M82" i="2" s="1"/>
  <c r="F25" i="1" s="1"/>
  <c r="O81" i="2"/>
  <c r="M81" i="2" s="1"/>
  <c r="F24" i="1" s="1"/>
  <c r="O80" i="2"/>
  <c r="M80" i="2" s="1"/>
  <c r="F23" i="1" s="1"/>
  <c r="O79" i="2"/>
  <c r="M79" i="2" s="1"/>
  <c r="F22" i="1" s="1"/>
  <c r="O78" i="2"/>
  <c r="M78" i="2" s="1"/>
  <c r="F21" i="1" s="1"/>
  <c r="O77" i="2"/>
  <c r="M77" i="2" s="1"/>
  <c r="F20" i="1" s="1"/>
  <c r="O76" i="2"/>
  <c r="M76" i="2" s="1"/>
  <c r="F19" i="1" s="1"/>
  <c r="O75" i="2"/>
  <c r="M75" i="2" s="1"/>
  <c r="F18" i="1" s="1"/>
  <c r="O74" i="2"/>
  <c r="M74" i="2" s="1"/>
  <c r="F17" i="1" s="1"/>
  <c r="O73" i="2"/>
  <c r="M73" i="2" s="1"/>
  <c r="F16" i="1" s="1"/>
  <c r="O72" i="2"/>
  <c r="M72" i="2" s="1"/>
  <c r="F15" i="1" s="1"/>
  <c r="O71" i="2"/>
  <c r="M71" i="2" s="1"/>
  <c r="F14" i="1" s="1"/>
  <c r="O70" i="2"/>
  <c r="M70" i="2" s="1"/>
  <c r="F13" i="1" s="1"/>
  <c r="H67" i="1" l="1"/>
  <c r="I60" i="1" s="1"/>
  <c r="F67" i="1"/>
  <c r="G28" i="1" s="1"/>
  <c r="O16" i="2"/>
  <c r="M16" i="2" s="1"/>
  <c r="D13" i="1" s="1"/>
  <c r="O17" i="2"/>
  <c r="M17" i="2" s="1"/>
  <c r="D14" i="1" s="1"/>
  <c r="J14" i="1" s="1"/>
  <c r="O18" i="2"/>
  <c r="M18" i="2" s="1"/>
  <c r="D15" i="1" s="1"/>
  <c r="O19" i="2"/>
  <c r="M19" i="2" s="1"/>
  <c r="D16" i="1" s="1"/>
  <c r="O20" i="2"/>
  <c r="M20" i="2" s="1"/>
  <c r="D17" i="1" s="1"/>
  <c r="J17" i="1" s="1"/>
  <c r="O21" i="2"/>
  <c r="M21" i="2" s="1"/>
  <c r="D18" i="1" s="1"/>
  <c r="J18" i="1" s="1"/>
  <c r="O22" i="2"/>
  <c r="M22" i="2" s="1"/>
  <c r="D19" i="1" s="1"/>
  <c r="O23" i="2"/>
  <c r="M23" i="2" s="1"/>
  <c r="D20" i="1" s="1"/>
  <c r="O24" i="2"/>
  <c r="M24" i="2" s="1"/>
  <c r="D21" i="1" s="1"/>
  <c r="J21" i="1" s="1"/>
  <c r="O25" i="2"/>
  <c r="M25" i="2" s="1"/>
  <c r="D22" i="1" s="1"/>
  <c r="O26" i="2"/>
  <c r="M26" i="2" s="1"/>
  <c r="D23" i="1" s="1"/>
  <c r="J23" i="1" s="1"/>
  <c r="O27" i="2"/>
  <c r="M27" i="2" s="1"/>
  <c r="D24" i="1" s="1"/>
  <c r="O28" i="2"/>
  <c r="M28" i="2" s="1"/>
  <c r="D25" i="1" s="1"/>
  <c r="O29" i="2"/>
  <c r="M29" i="2" s="1"/>
  <c r="D26" i="1" s="1"/>
  <c r="O30" i="2"/>
  <c r="M30" i="2" s="1"/>
  <c r="D27" i="1" s="1"/>
  <c r="J27" i="1" s="1"/>
  <c r="O31" i="2"/>
  <c r="M31" i="2" s="1"/>
  <c r="D28" i="1" s="1"/>
  <c r="O32" i="2"/>
  <c r="M32" i="2" s="1"/>
  <c r="D29" i="1" s="1"/>
  <c r="J29" i="1" s="1"/>
  <c r="O33" i="2"/>
  <c r="M33" i="2" s="1"/>
  <c r="D30" i="1" s="1"/>
  <c r="O34" i="2"/>
  <c r="M34" i="2" s="1"/>
  <c r="D31" i="1" s="1"/>
  <c r="O35" i="2"/>
  <c r="M35" i="2" s="1"/>
  <c r="D32" i="1" s="1"/>
  <c r="J32" i="1" s="1"/>
  <c r="O36" i="2"/>
  <c r="M36" i="2" s="1"/>
  <c r="D33" i="1" s="1"/>
  <c r="O37" i="2"/>
  <c r="M37" i="2" s="1"/>
  <c r="D34" i="1" s="1"/>
  <c r="O38" i="2"/>
  <c r="M38" i="2" s="1"/>
  <c r="D35" i="1" s="1"/>
  <c r="O39" i="2"/>
  <c r="M39" i="2" s="1"/>
  <c r="D36" i="1" s="1"/>
  <c r="O40" i="2"/>
  <c r="M40" i="2" s="1"/>
  <c r="D37" i="1" s="1"/>
  <c r="J37" i="1" s="1"/>
  <c r="O41" i="2"/>
  <c r="M41" i="2" s="1"/>
  <c r="D38" i="1" s="1"/>
  <c r="O42" i="2"/>
  <c r="M42" i="2" s="1"/>
  <c r="D39" i="1" s="1"/>
  <c r="J39" i="1" s="1"/>
  <c r="O43" i="2"/>
  <c r="M43" i="2" s="1"/>
  <c r="D40" i="1" s="1"/>
  <c r="O44" i="2"/>
  <c r="M44" i="2" s="1"/>
  <c r="D41" i="1" s="1"/>
  <c r="J41" i="1" s="1"/>
  <c r="O45" i="2"/>
  <c r="M45" i="2" s="1"/>
  <c r="D42" i="1" s="1"/>
  <c r="J42" i="1" s="1"/>
  <c r="O46" i="2"/>
  <c r="M46" i="2" s="1"/>
  <c r="D43" i="1" s="1"/>
  <c r="O47" i="2"/>
  <c r="M47" i="2" s="1"/>
  <c r="D44" i="1" s="1"/>
  <c r="O48" i="2"/>
  <c r="M48" i="2" s="1"/>
  <c r="D45" i="1" s="1"/>
  <c r="J45" i="1" s="1"/>
  <c r="O49" i="2"/>
  <c r="M49" i="2" s="1"/>
  <c r="D46" i="1" s="1"/>
  <c r="J46" i="1" s="1"/>
  <c r="O50" i="2"/>
  <c r="M50" i="2" s="1"/>
  <c r="D47" i="1" s="1"/>
  <c r="O51" i="2"/>
  <c r="M51" i="2" s="1"/>
  <c r="D48" i="1" s="1"/>
  <c r="O52" i="2"/>
  <c r="M52" i="2" s="1"/>
  <c r="D49" i="1" s="1"/>
  <c r="O53" i="2"/>
  <c r="M53" i="2" s="1"/>
  <c r="D50" i="1" s="1"/>
  <c r="J50" i="1" s="1"/>
  <c r="O54" i="2"/>
  <c r="M54" i="2" s="1"/>
  <c r="D51" i="1" s="1"/>
  <c r="O55" i="2"/>
  <c r="M55" i="2" s="1"/>
  <c r="D52" i="1" s="1"/>
  <c r="O56" i="2"/>
  <c r="M56" i="2" s="1"/>
  <c r="D53" i="1" s="1"/>
  <c r="J53" i="1" s="1"/>
  <c r="O57" i="2"/>
  <c r="M57" i="2" s="1"/>
  <c r="D54" i="1" s="1"/>
  <c r="O58" i="2"/>
  <c r="M58" i="2" s="1"/>
  <c r="D55" i="1" s="1"/>
  <c r="J55" i="1" s="1"/>
  <c r="O59" i="2"/>
  <c r="M59" i="2" s="1"/>
  <c r="D56" i="1" s="1"/>
  <c r="O60" i="2"/>
  <c r="M60" i="2" s="1"/>
  <c r="D57" i="1" s="1"/>
  <c r="O61" i="2"/>
  <c r="M61" i="2" s="1"/>
  <c r="D58" i="1" s="1"/>
  <c r="O62" i="2"/>
  <c r="M62" i="2" s="1"/>
  <c r="D59" i="1" s="1"/>
  <c r="J59" i="1" s="1"/>
  <c r="O63" i="2"/>
  <c r="M63" i="2" s="1"/>
  <c r="D60" i="1" s="1"/>
  <c r="J60" i="1" s="1"/>
  <c r="O64" i="2"/>
  <c r="M64" i="2" s="1"/>
  <c r="D61" i="1" s="1"/>
  <c r="J61" i="1" s="1"/>
  <c r="O65" i="2"/>
  <c r="M65" i="2" s="1"/>
  <c r="D62" i="1" s="1"/>
  <c r="O66" i="2"/>
  <c r="M66" i="2" s="1"/>
  <c r="D63" i="1" s="1"/>
  <c r="O67" i="2"/>
  <c r="M67" i="2" s="1"/>
  <c r="D64" i="1" s="1"/>
  <c r="J64" i="1" s="1"/>
  <c r="O68" i="2"/>
  <c r="M68" i="2" s="1"/>
  <c r="D65" i="1" s="1"/>
  <c r="O69" i="2"/>
  <c r="M69" i="2" s="1"/>
  <c r="D66" i="1" s="1"/>
  <c r="G41" i="1" l="1"/>
  <c r="G34" i="1"/>
  <c r="I66" i="1"/>
  <c r="I63" i="1"/>
  <c r="I44" i="1"/>
  <c r="I13" i="1"/>
  <c r="I56" i="1"/>
  <c r="I58" i="1"/>
  <c r="I15" i="1"/>
  <c r="I22" i="1"/>
  <c r="G18" i="1"/>
  <c r="I51" i="1"/>
  <c r="I32" i="1"/>
  <c r="I57" i="1"/>
  <c r="I35" i="1"/>
  <c r="I50" i="1"/>
  <c r="I47" i="1"/>
  <c r="I20" i="1"/>
  <c r="G46" i="1"/>
  <c r="I31" i="1"/>
  <c r="I49" i="1"/>
  <c r="I64" i="1"/>
  <c r="I41" i="1"/>
  <c r="I62" i="1"/>
  <c r="I34" i="1"/>
  <c r="I52" i="1"/>
  <c r="G63" i="1"/>
  <c r="I40" i="1"/>
  <c r="I65" i="1"/>
  <c r="I27" i="1"/>
  <c r="I48" i="1"/>
  <c r="I45" i="1"/>
  <c r="I23" i="1"/>
  <c r="I14" i="1"/>
  <c r="G13" i="1"/>
  <c r="I54" i="1"/>
  <c r="I19" i="1"/>
  <c r="I37" i="1"/>
  <c r="I39" i="1"/>
  <c r="I16" i="1"/>
  <c r="I61" i="1"/>
  <c r="I33" i="1"/>
  <c r="I55" i="1"/>
  <c r="I25" i="1"/>
  <c r="I28" i="1"/>
  <c r="I43" i="1"/>
  <c r="I46" i="1"/>
  <c r="I30" i="1"/>
  <c r="I29" i="1"/>
  <c r="I26" i="1"/>
  <c r="I36" i="1"/>
  <c r="I59" i="1"/>
  <c r="G24" i="1"/>
  <c r="I42" i="1"/>
  <c r="I53" i="1"/>
  <c r="I24" i="1"/>
  <c r="I21" i="1"/>
  <c r="I18" i="1"/>
  <c r="I17" i="1"/>
  <c r="I38" i="1"/>
  <c r="G55" i="1"/>
  <c r="G64" i="1"/>
  <c r="G47" i="1"/>
  <c r="G60" i="1"/>
  <c r="G14" i="1"/>
  <c r="G16" i="1"/>
  <c r="G31" i="1"/>
  <c r="G61" i="1"/>
  <c r="G15" i="1"/>
  <c r="G17" i="1"/>
  <c r="G39" i="1"/>
  <c r="G19" i="1"/>
  <c r="G53" i="1"/>
  <c r="G21" i="1"/>
  <c r="G27" i="1"/>
  <c r="G50" i="1"/>
  <c r="G37" i="1"/>
  <c r="G66" i="1"/>
  <c r="G43" i="1"/>
  <c r="G51" i="1"/>
  <c r="G23" i="1"/>
  <c r="G25" i="1"/>
  <c r="G38" i="1"/>
  <c r="G22" i="1"/>
  <c r="G49" i="1"/>
  <c r="G65" i="1"/>
  <c r="G33" i="1"/>
  <c r="G44" i="1"/>
  <c r="G20" i="1"/>
  <c r="G54" i="1"/>
  <c r="G32" i="1"/>
  <c r="G45" i="1"/>
  <c r="G52" i="1"/>
  <c r="G40" i="1"/>
  <c r="G26" i="1"/>
  <c r="G35" i="1"/>
  <c r="G48" i="1"/>
  <c r="G36" i="1"/>
  <c r="G42" i="1"/>
  <c r="G59" i="1"/>
  <c r="G57" i="1"/>
  <c r="G62" i="1"/>
  <c r="G56" i="1"/>
  <c r="G29" i="1"/>
  <c r="G58" i="1"/>
  <c r="G30" i="1"/>
  <c r="J66" i="1"/>
  <c r="J49" i="1"/>
  <c r="J33" i="1"/>
  <c r="J40" i="1"/>
  <c r="J16" i="1"/>
  <c r="J15" i="1"/>
  <c r="J62" i="1"/>
  <c r="J54" i="1"/>
  <c r="J38" i="1"/>
  <c r="J30" i="1"/>
  <c r="J22" i="1"/>
  <c r="J26" i="1"/>
  <c r="J57" i="1"/>
  <c r="J48" i="1"/>
  <c r="J24" i="1"/>
  <c r="J13" i="1"/>
  <c r="D67" i="1"/>
  <c r="E15" i="1" s="1"/>
  <c r="J52" i="1"/>
  <c r="J44" i="1"/>
  <c r="J36" i="1"/>
  <c r="J28" i="1"/>
  <c r="J20" i="1"/>
  <c r="J58" i="1"/>
  <c r="J34" i="1"/>
  <c r="J65" i="1"/>
  <c r="J25" i="1"/>
  <c r="J56" i="1"/>
  <c r="J63" i="1"/>
  <c r="J47" i="1"/>
  <c r="J31" i="1"/>
  <c r="J51" i="1"/>
  <c r="J43" i="1"/>
  <c r="J35" i="1"/>
  <c r="J19" i="1"/>
  <c r="B14" i="2"/>
  <c r="O2" i="5" s="1"/>
  <c r="N128" i="2"/>
  <c r="N110" i="2"/>
  <c r="N77" i="2"/>
  <c r="N113" i="2"/>
  <c r="N90" i="2"/>
  <c r="N116" i="2"/>
  <c r="N106" i="2"/>
  <c r="N76" i="2"/>
  <c r="N145" i="2"/>
  <c r="N140" i="2"/>
  <c r="N134" i="2"/>
  <c r="N139" i="2"/>
  <c r="N160" i="2"/>
  <c r="N124" i="2"/>
  <c r="N105" i="2"/>
  <c r="N123" i="2"/>
  <c r="N109" i="2"/>
  <c r="N121" i="2"/>
  <c r="N107" i="2"/>
  <c r="N92" i="2"/>
  <c r="N119" i="2"/>
  <c r="N136" i="2"/>
  <c r="N142" i="2"/>
  <c r="N151" i="2"/>
  <c r="N130" i="2"/>
  <c r="N170" i="2"/>
  <c r="N133" i="2"/>
  <c r="N101" i="2"/>
  <c r="N114" i="2"/>
  <c r="N104" i="2"/>
  <c r="N117" i="2"/>
  <c r="N98" i="2"/>
  <c r="N83" i="2"/>
  <c r="N173" i="2"/>
  <c r="N131" i="2"/>
  <c r="N167" i="2"/>
  <c r="N176" i="2"/>
  <c r="N166" i="2"/>
  <c r="N161" i="2"/>
  <c r="N155" i="2"/>
  <c r="N96" i="2"/>
  <c r="N100" i="2"/>
  <c r="N86" i="2"/>
  <c r="N112" i="2"/>
  <c r="N84" i="2"/>
  <c r="N74" i="2"/>
  <c r="N159" i="2"/>
  <c r="N174" i="2"/>
  <c r="N158" i="2"/>
  <c r="N171" i="2"/>
  <c r="N143" i="2"/>
  <c r="N156" i="2"/>
  <c r="N146" i="2"/>
  <c r="N111" i="2"/>
  <c r="N78" i="2"/>
  <c r="N91" i="2"/>
  <c r="N81" i="2"/>
  <c r="N94" i="2"/>
  <c r="N75" i="2"/>
  <c r="N97" i="2"/>
  <c r="N150" i="2"/>
  <c r="N177" i="2"/>
  <c r="N149" i="2"/>
  <c r="N162" i="2"/>
  <c r="N125" i="2"/>
  <c r="N152" i="2"/>
  <c r="N137" i="2"/>
  <c r="N103" i="2"/>
  <c r="N79" i="2"/>
  <c r="N82" i="2"/>
  <c r="N122" i="2"/>
  <c r="N89" i="2"/>
  <c r="N120" i="2"/>
  <c r="N93" i="2"/>
  <c r="N141" i="2"/>
  <c r="N172" i="2"/>
  <c r="N135" i="2"/>
  <c r="N153" i="2"/>
  <c r="N169" i="2"/>
  <c r="N147" i="2"/>
  <c r="N164" i="2"/>
  <c r="N95" i="2"/>
  <c r="N73" i="2"/>
  <c r="N72" i="2"/>
  <c r="N108" i="2"/>
  <c r="N85" i="2"/>
  <c r="N102" i="2"/>
  <c r="N88" i="2"/>
  <c r="N127" i="2"/>
  <c r="N168" i="2"/>
  <c r="N126" i="2"/>
  <c r="N148" i="2"/>
  <c r="N175" i="2"/>
  <c r="N138" i="2"/>
  <c r="N132" i="2"/>
  <c r="N87" i="2"/>
  <c r="N71" i="2"/>
  <c r="N118" i="2"/>
  <c r="N99" i="2"/>
  <c r="N80" i="2"/>
  <c r="N115" i="2"/>
  <c r="N70" i="2"/>
  <c r="N163" i="2"/>
  <c r="N154" i="2"/>
  <c r="N157" i="2"/>
  <c r="N144" i="2"/>
  <c r="N165" i="2"/>
  <c r="N129" i="2"/>
  <c r="N69" i="2"/>
  <c r="N53" i="2"/>
  <c r="N40" i="2"/>
  <c r="N63" i="2"/>
  <c r="N47" i="2"/>
  <c r="N24" i="2"/>
  <c r="N62" i="2"/>
  <c r="N54" i="2"/>
  <c r="N46" i="2"/>
  <c r="N38" i="2"/>
  <c r="N30" i="2"/>
  <c r="N22" i="2"/>
  <c r="N55" i="2"/>
  <c r="N37" i="2"/>
  <c r="N52" i="2"/>
  <c r="N28" i="2"/>
  <c r="N67" i="2"/>
  <c r="N59" i="2"/>
  <c r="N51" i="2"/>
  <c r="N43" i="2"/>
  <c r="N35" i="2"/>
  <c r="N27" i="2"/>
  <c r="N19" i="2"/>
  <c r="N61" i="2"/>
  <c r="N23" i="2"/>
  <c r="N21" i="2"/>
  <c r="N56" i="2"/>
  <c r="N60" i="2"/>
  <c r="N36" i="2"/>
  <c r="N66" i="2"/>
  <c r="N58" i="2"/>
  <c r="N50" i="2"/>
  <c r="N42" i="2"/>
  <c r="N34" i="2"/>
  <c r="N26" i="2"/>
  <c r="N18" i="2"/>
  <c r="N32" i="2"/>
  <c r="N45" i="2"/>
  <c r="N29" i="2"/>
  <c r="N68" i="2"/>
  <c r="N44" i="2"/>
  <c r="N20" i="2"/>
  <c r="N39" i="2"/>
  <c r="N17" i="2"/>
  <c r="N65" i="2"/>
  <c r="N57" i="2"/>
  <c r="N49" i="2"/>
  <c r="N41" i="2"/>
  <c r="N33" i="2"/>
  <c r="N25" i="2"/>
  <c r="N64" i="2"/>
  <c r="N48" i="2"/>
  <c r="N31" i="2"/>
  <c r="N16" i="2"/>
  <c r="I67" i="1" l="1"/>
  <c r="G67" i="1"/>
  <c r="E20" i="1"/>
  <c r="E43" i="1"/>
  <c r="E65" i="1"/>
  <c r="E53" i="1"/>
  <c r="E36" i="1"/>
  <c r="E13" i="1"/>
  <c r="E34" i="1"/>
  <c r="E47" i="1"/>
  <c r="E52" i="1"/>
  <c r="E29" i="1"/>
  <c r="E33" i="1"/>
  <c r="E38" i="1"/>
  <c r="E50" i="1"/>
  <c r="E57" i="1"/>
  <c r="E66" i="1"/>
  <c r="E41" i="1"/>
  <c r="E35" i="1"/>
  <c r="E48" i="1"/>
  <c r="E63" i="1"/>
  <c r="E44" i="1"/>
  <c r="E54" i="1"/>
  <c r="E28" i="1"/>
  <c r="E42" i="1"/>
  <c r="E37" i="1"/>
  <c r="E51" i="1"/>
  <c r="E56" i="1"/>
  <c r="E58" i="1"/>
  <c r="E55" i="1"/>
  <c r="E49" i="1"/>
  <c r="E18" i="1"/>
  <c r="E19" i="1"/>
  <c r="E31" i="1"/>
  <c r="E25" i="1"/>
  <c r="E17" i="1"/>
  <c r="J67" i="1"/>
  <c r="K14" i="1" s="1"/>
  <c r="E30" i="1"/>
  <c r="E59" i="1"/>
  <c r="E14" i="1"/>
  <c r="E21" i="1"/>
  <c r="E27" i="1"/>
  <c r="E61" i="1"/>
  <c r="E60" i="1"/>
  <c r="E32" i="1"/>
  <c r="E23" i="1"/>
  <c r="E45" i="1"/>
  <c r="E26" i="1"/>
  <c r="E16" i="1"/>
  <c r="E24" i="1"/>
  <c r="E64" i="1"/>
  <c r="E40" i="1"/>
  <c r="E39" i="1"/>
  <c r="E46" i="1"/>
  <c r="E22" i="1"/>
  <c r="E62" i="1"/>
  <c r="K36" i="1" l="1"/>
  <c r="K34" i="1"/>
  <c r="K58" i="1"/>
  <c r="K24" i="1"/>
  <c r="K15" i="1"/>
  <c r="K18" i="1"/>
  <c r="K57" i="1"/>
  <c r="K64" i="1"/>
  <c r="K56" i="1"/>
  <c r="K20" i="1"/>
  <c r="K66" i="1"/>
  <c r="K13" i="1"/>
  <c r="K49" i="1"/>
  <c r="K39" i="1"/>
  <c r="K60" i="1"/>
  <c r="K21" i="1"/>
  <c r="K51" i="1"/>
  <c r="K31" i="1"/>
  <c r="K30" i="1"/>
  <c r="K42" i="1"/>
  <c r="K46" i="1"/>
  <c r="K63" i="1"/>
  <c r="K32" i="1"/>
  <c r="K55" i="1"/>
  <c r="K28" i="1"/>
  <c r="K19" i="1"/>
  <c r="K62" i="1"/>
  <c r="K65" i="1"/>
  <c r="E67" i="1"/>
  <c r="K29" i="1"/>
  <c r="K37" i="1"/>
  <c r="K23" i="1"/>
  <c r="K25" i="1"/>
  <c r="K22" i="1"/>
  <c r="K38" i="1"/>
  <c r="K61" i="1"/>
  <c r="K50" i="1"/>
  <c r="K53" i="1"/>
  <c r="K44" i="1"/>
  <c r="K47" i="1"/>
  <c r="K43" i="1"/>
  <c r="K17" i="1"/>
  <c r="K54" i="1"/>
  <c r="K33" i="1"/>
  <c r="K35" i="1"/>
  <c r="K48" i="1"/>
  <c r="K40" i="1"/>
  <c r="K16" i="1"/>
  <c r="K27" i="1"/>
  <c r="K59" i="1"/>
  <c r="K52" i="1"/>
  <c r="K26" i="1"/>
  <c r="K41" i="1"/>
  <c r="K45" i="1"/>
  <c r="K67" i="1" l="1"/>
</calcChain>
</file>

<file path=xl/sharedStrings.xml><?xml version="1.0" encoding="utf-8"?>
<sst xmlns="http://schemas.openxmlformats.org/spreadsheetml/2006/main" count="1997" uniqueCount="364">
  <si>
    <t>FICHA DE CARACTERIZACIÓN</t>
  </si>
  <si>
    <t>DATOS GENERALES</t>
  </si>
  <si>
    <t>Instalación </t>
  </si>
  <si>
    <t>Empresa caracterizadora</t>
  </si>
  <si>
    <t>Fecha y hora del muestreo</t>
  </si>
  <si>
    <r>
      <t xml:space="preserve">Modelo de separación de residuos </t>
    </r>
    <r>
      <rPr>
        <b/>
        <sz val="7"/>
        <color theme="3"/>
        <rFont val="Cambria"/>
        <family val="1"/>
      </rPr>
      <t>[i]</t>
    </r>
  </si>
  <si>
    <t>Origen del residuo (vehículo/ foso/ contenedor)</t>
  </si>
  <si>
    <t>Fracción origen de la muestra</t>
  </si>
  <si>
    <t>Matrícula del vehículo (si procede)/ ruta</t>
  </si>
  <si>
    <r>
      <t xml:space="preserve">FRACCIÓN-CONTENEDOR </t>
    </r>
    <r>
      <rPr>
        <b/>
        <sz val="7"/>
        <color theme="3"/>
        <rFont val="Cambria"/>
        <family val="1"/>
      </rPr>
      <t>[ii]</t>
    </r>
  </si>
  <si>
    <t>COMPONENTE</t>
  </si>
  <si>
    <t>DOMÉSTICOS</t>
  </si>
  <si>
    <t>Peso (kg)</t>
  </si>
  <si>
    <t>%</t>
  </si>
  <si>
    <t>Papel – cartón</t>
  </si>
  <si>
    <t>Papel y Cartón envase (Con Pto. Verde)</t>
  </si>
  <si>
    <t>Papel y Cartón envase (Sin Pto. Verde)</t>
  </si>
  <si>
    <t>Papel/Cartón No Envase</t>
  </si>
  <si>
    <t>Brik</t>
  </si>
  <si>
    <t>Envase</t>
  </si>
  <si>
    <t>No envase</t>
  </si>
  <si>
    <t>Metales férricos</t>
  </si>
  <si>
    <t>Acero</t>
  </si>
  <si>
    <t>Metales no férricos</t>
  </si>
  <si>
    <t>Aluminio</t>
  </si>
  <si>
    <t>Madera</t>
  </si>
  <si>
    <r>
      <t xml:space="preserve">Plásticos </t>
    </r>
    <r>
      <rPr>
        <b/>
        <sz val="7"/>
        <color rgb="FFFF0000"/>
        <rFont val="Cambria"/>
        <family val="1"/>
      </rPr>
      <t>(excepto SUP*)</t>
    </r>
  </si>
  <si>
    <t xml:space="preserve">PET </t>
  </si>
  <si>
    <t>FILM (Bolsas basura)</t>
  </si>
  <si>
    <t>PVC</t>
  </si>
  <si>
    <t>PP</t>
  </si>
  <si>
    <t>PS (excepto EPS)</t>
  </si>
  <si>
    <t>EPS</t>
  </si>
  <si>
    <t>Otros Plásticos</t>
  </si>
  <si>
    <t>* Plásticos de un solo uso (SUP) [iii]</t>
  </si>
  <si>
    <t>Botellas para bebidas de hasta tres litros de capacidad, incluidos sus tapas y tapones</t>
  </si>
  <si>
    <t>Productos de tabaco con filtro y fitros comercializados para utilizarse en combinación con productos del tabaco</t>
  </si>
  <si>
    <t>Recipientes para alimentos</t>
  </si>
  <si>
    <t>Vasos para bebidas (incluidas sus tapas y tapones)</t>
  </si>
  <si>
    <t>Biorresiduos</t>
  </si>
  <si>
    <r>
      <t>RAEE</t>
    </r>
    <r>
      <rPr>
        <sz val="7"/>
        <color theme="3"/>
        <rFont val="Cambria"/>
        <family val="1"/>
      </rPr>
      <t xml:space="preserve"> [iv]</t>
    </r>
  </si>
  <si>
    <t>Otros</t>
  </si>
  <si>
    <t>Pilas y Acumuladores</t>
  </si>
  <si>
    <t>Baterías de Vehículos</t>
  </si>
  <si>
    <t>Textiles y piel</t>
  </si>
  <si>
    <t>Textiles y celulósicos sanitarios</t>
  </si>
  <si>
    <t>Cantidad de Producto en Envases (Sólido)</t>
  </si>
  <si>
    <t>Cantidad de Producto en Envases (líquido-no aceite)</t>
  </si>
  <si>
    <t>Tierras y Escombros</t>
  </si>
  <si>
    <t>Caucho</t>
  </si>
  <si>
    <t xml:space="preserve">SUBTOTAL FRACCIÓN </t>
  </si>
  <si>
    <t xml:space="preserve">Vidrio </t>
  </si>
  <si>
    <t>FILM (Excepto bolsas basura)</t>
  </si>
  <si>
    <r>
      <t>[i]</t>
    </r>
    <r>
      <rPr>
        <sz val="10"/>
        <color theme="3"/>
        <rFont val="Calibri"/>
        <family val="2"/>
        <scheme val="minor"/>
      </rPr>
      <t xml:space="preserve"> Entre los modelos de separación de residuos de competencia municipal en España:</t>
    </r>
  </si>
  <si>
    <t>https://www.miteco.gob.es/es/calidad-y-evaluacion-ambiental/temas/prevencion-y-gestion-residuos/flujos/domesticos/gestion/modelo_gestion/</t>
  </si>
  <si>
    <r>
      <t>[ii]</t>
    </r>
    <r>
      <rPr>
        <sz val="10"/>
        <color theme="3"/>
        <rFont val="Calibri"/>
        <family val="2"/>
        <scheme val="minor"/>
      </rPr>
      <t xml:space="preserve"> Se cumplimentará una ficha por cada fracción objeto de caracterización.</t>
    </r>
  </si>
  <si>
    <r>
      <t>[iii]</t>
    </r>
    <r>
      <rPr>
        <sz val="10"/>
        <color theme="3"/>
        <rFont val="Calibri"/>
        <family val="2"/>
        <scheme val="minor"/>
      </rPr>
      <t xml:space="preserve"> En cumplimiento de la Directiva (UE) 2019/904 del Parlamento Europeo y del Consejo de 5 de junio de 2019 relativa a la reducción del impacto de determinados productos de plástico en el medio ambiente</t>
    </r>
  </si>
  <si>
    <t>https://www.boe.es/doue/2019/155/L00001-00019.pdf</t>
  </si>
  <si>
    <t xml:space="preserve">RAEE </t>
  </si>
  <si>
    <t>PEAD</t>
  </si>
  <si>
    <t>PEBD</t>
  </si>
  <si>
    <t>Tamaño de la muestra (kg)</t>
  </si>
  <si>
    <t>Sistema de recogida (contenedor,PaP, Neumática)  </t>
  </si>
  <si>
    <t>Análisis complementarios: Humedad/Suciedad. (si procede)</t>
  </si>
  <si>
    <t>Kg. De muestra a analizar/ Laboratorio (si procede)</t>
  </si>
  <si>
    <t>Procedencia de la muestra (entidad de recogida)</t>
  </si>
  <si>
    <t>Restos de alimentos no cocinados y restos derivados de la preparación de alimentos</t>
  </si>
  <si>
    <t>Restos de alimentos cocinados</t>
  </si>
  <si>
    <t>Celulosas: Papel de cocina, servilletas</t>
  </si>
  <si>
    <t>Derroche alimentario: alimentos caducados y en mal estado (a granel o en envases abiertos, el envase se separará en su fracción)</t>
  </si>
  <si>
    <t>Aceite de cocina usados (contenidos en envases)</t>
  </si>
  <si>
    <t>Restos vegetales (césped, hojas, flores, etc.)</t>
  </si>
  <si>
    <t>Restos de poda (ramas, arbustos, etc.)</t>
  </si>
  <si>
    <t>Baterias</t>
  </si>
  <si>
    <t>Textiles</t>
  </si>
  <si>
    <t>Textiles sanitarios</t>
  </si>
  <si>
    <t>Tierras y RCDs</t>
  </si>
  <si>
    <t>Restos de obras menores</t>
  </si>
  <si>
    <t>Inclasificables mayores de 50 mm</t>
  </si>
  <si>
    <t>Finos &lt; 50 mm (si &gt; 2kg*, se hará una analitica en laboratorio)</t>
  </si>
  <si>
    <t>Otros otros  (cuerdas multimaterial…)</t>
  </si>
  <si>
    <t>Otros restos de cocina compostables: bolsas, corchos, palillos de madera y otros resto compostables (vasos de papel, etc.)</t>
  </si>
  <si>
    <t>COMERCIALES</t>
  </si>
  <si>
    <t>TOTAL COMERCIAL+INDUSTRIAL/AGRICOLA+DOMESTICO</t>
  </si>
  <si>
    <t>ACEITE</t>
  </si>
  <si>
    <t>ORIGEN</t>
  </si>
  <si>
    <t>NIVEL 0</t>
  </si>
  <si>
    <t>NIVEL 1</t>
  </si>
  <si>
    <t>NIVEL 2</t>
  </si>
  <si>
    <t>Plásticos (excepto SUP*)</t>
  </si>
  <si>
    <t>INDUSTRIALES / AGRICOLAS</t>
  </si>
  <si>
    <r>
      <t>RAEE</t>
    </r>
    <r>
      <rPr>
        <sz val="10"/>
        <color theme="3"/>
        <rFont val="Calibri"/>
        <family val="2"/>
        <scheme val="minor"/>
      </rPr>
      <t xml:space="preserve"> [iv]</t>
    </r>
  </si>
  <si>
    <t>TARA</t>
  </si>
  <si>
    <t>PESADA 1</t>
  </si>
  <si>
    <t>PESADA 2</t>
  </si>
  <si>
    <t>PESADA 3</t>
  </si>
  <si>
    <t>PESADA 4</t>
  </si>
  <si>
    <t>PESADA 5</t>
  </si>
  <si>
    <t>TOTAL</t>
  </si>
  <si>
    <t>Etiquetas de fila</t>
  </si>
  <si>
    <t>Total general</t>
  </si>
  <si>
    <t>RAEE [iv]</t>
  </si>
  <si>
    <t>nº Pesadas</t>
  </si>
  <si>
    <t>MATERIA ORGANICA</t>
  </si>
  <si>
    <t>Impropio</t>
  </si>
  <si>
    <t>Solicitado</t>
  </si>
  <si>
    <t>ENVASES LIGEROS FRACCIONES</t>
  </si>
  <si>
    <t>PAÑALES Y RESTO HUMEDO SECO</t>
  </si>
  <si>
    <t>RESTO FRACCIONES/ASIMILABLE A RESTO</t>
  </si>
  <si>
    <t>Observaciones</t>
  </si>
  <si>
    <t>Instalación donde se realiza la caracterización</t>
  </si>
  <si>
    <t>Peso caracterizado</t>
  </si>
  <si>
    <t>ENVASES Y MATERIALES HUMEDO SECO</t>
  </si>
  <si>
    <t>nº</t>
  </si>
  <si>
    <t>Tipo de caracterizacion</t>
  </si>
  <si>
    <t>TIPO DE CARACTERIZACION (Resto, Organica, Envases Ligeros, …)</t>
  </si>
  <si>
    <t>Año</t>
  </si>
  <si>
    <t>SUMA DOMESTICOS</t>
  </si>
  <si>
    <t>SUMA COMERCIAL</t>
  </si>
  <si>
    <t>SUMA INDUSTRIAL/AGRICOLA</t>
  </si>
  <si>
    <t>% DOMESTICOS/TOTAL</t>
  </si>
  <si>
    <t>% COMERCIAL/TOTAL</t>
  </si>
  <si>
    <t>% IND-AGR/TOTAL</t>
  </si>
  <si>
    <t>SUMA IMPROPIOS</t>
  </si>
  <si>
    <t>% IMPROPIOS</t>
  </si>
  <si>
    <t>Residuo</t>
  </si>
  <si>
    <t>Suma de TOTAL</t>
  </si>
  <si>
    <t>Suma de %</t>
  </si>
  <si>
    <t>DOMÉSTICOS Papel – cartón  Papel y Cartón envase (Con Pto. Verde)</t>
  </si>
  <si>
    <t>DOMÉSTICOS Papel – cartón  Papel y Cartón envase (Sin Pto. Verde)</t>
  </si>
  <si>
    <t>DOMÉSTICOS Papel – cartón  Papel/Cartón No Envase</t>
  </si>
  <si>
    <t>DOMÉSTICOS Brik  Envase</t>
  </si>
  <si>
    <t>DOMÉSTICOS Vidrio   Envase</t>
  </si>
  <si>
    <t>DOMÉSTICOS Vidrio   No envase</t>
  </si>
  <si>
    <t>DOMÉSTICOS Metales férricos Acero Envase</t>
  </si>
  <si>
    <t>DOMÉSTICOS Metales férricos Acero No envase</t>
  </si>
  <si>
    <t>DOMÉSTICOS Metales no férricos Aluminio Envase</t>
  </si>
  <si>
    <t>DOMÉSTICOS Metales no férricos Aluminio No envase</t>
  </si>
  <si>
    <t>DOMÉSTICOS Madera  Envase</t>
  </si>
  <si>
    <t>DOMÉSTICOS Madera  No envase</t>
  </si>
  <si>
    <t>DOMÉSTICOS Plásticos (excepto SUP*) PET  Envase</t>
  </si>
  <si>
    <t>DOMÉSTICOS Plásticos (excepto SUP*) PET  No envase</t>
  </si>
  <si>
    <t>DOMÉSTICOS Plásticos (excepto SUP*) PEAD Envase</t>
  </si>
  <si>
    <t>DOMÉSTICOS Plásticos (excepto SUP*) PEAD No envase</t>
  </si>
  <si>
    <t>DOMÉSTICOS Plásticos (excepto SUP*) PEBD Envase</t>
  </si>
  <si>
    <t>DOMÉSTICOS Plásticos (excepto SUP*) PEBD No envase</t>
  </si>
  <si>
    <t>DOMÉSTICOS Plásticos (excepto SUP*) PVC Envase</t>
  </si>
  <si>
    <t>DOMÉSTICOS Plásticos (excepto SUP*) PVC No envase</t>
  </si>
  <si>
    <t>DOMÉSTICOS Plásticos (excepto SUP*) PP Envase</t>
  </si>
  <si>
    <t>DOMÉSTICOS Plásticos (excepto SUP*) PP No envase</t>
  </si>
  <si>
    <t>DOMÉSTICOS Plásticos (excepto SUP*) PS (excepto EPS) Envase</t>
  </si>
  <si>
    <t>DOMÉSTICOS Plásticos (excepto SUP*) PS (excepto EPS) No envase</t>
  </si>
  <si>
    <t>DOMÉSTICOS Plásticos (excepto SUP*) EPS Envase</t>
  </si>
  <si>
    <t>DOMÉSTICOS Plásticos (excepto SUP*) EPS No envase</t>
  </si>
  <si>
    <t>DOMÉSTICOS Plásticos (excepto SUP*) Otros Plásticos Envase</t>
  </si>
  <si>
    <t>DOMÉSTICOS Plásticos (excepto SUP*) Otros Plásticos No envase</t>
  </si>
  <si>
    <t xml:space="preserve">DOMÉSTICOS * Plásticos de un solo uso (SUP) [iii] Botellas para bebidas de hasta tres litros de capacidad, incluidos sus tapas y tapones </t>
  </si>
  <si>
    <t xml:space="preserve">DOMÉSTICOS * Plásticos de un solo uso (SUP) [iii] Productos de tabaco con filtro y fitros comercializados para utilizarse en combinación con productos del tabaco </t>
  </si>
  <si>
    <t xml:space="preserve">DOMÉSTICOS * Plásticos de un solo uso (SUP) [iii] Recipientes para alimentos </t>
  </si>
  <si>
    <t xml:space="preserve">DOMÉSTICOS * Plásticos de un solo uso (SUP) [iii] Vasos para bebidas (incluidas sus tapas y tapones) </t>
  </si>
  <si>
    <t xml:space="preserve">DOMÉSTICOS * Plásticos de un solo uso (SUP) [iii] Otros </t>
  </si>
  <si>
    <t xml:space="preserve">DOMÉSTICOS Biorresiduos Restos de alimentos no cocinados y restos derivados de la preparación de alimentos </t>
  </si>
  <si>
    <t xml:space="preserve">DOMÉSTICOS Biorresiduos Restos de alimentos cocinados </t>
  </si>
  <si>
    <t xml:space="preserve">DOMÉSTICOS Biorresiduos Celulosas: Papel de cocina, servilletas </t>
  </si>
  <si>
    <t xml:space="preserve">DOMÉSTICOS Biorresiduos Otros restos de cocina compostables: bolsas, corchos, palillos de madera y otros resto compostables (vasos de papel, etc.) </t>
  </si>
  <si>
    <t xml:space="preserve">DOMÉSTICOS Biorresiduos Derroche alimentario: alimentos caducados y en mal estado (a granel o en envases abiertos, el envase se separará en su fracción) </t>
  </si>
  <si>
    <t xml:space="preserve">DOMÉSTICOS Biorresiduos Restos vegetales (césped, hojas, flores, etc.) </t>
  </si>
  <si>
    <t xml:space="preserve">DOMÉSTICOS Biorresiduos Restos de poda (ramas, arbustos, etc.) </t>
  </si>
  <si>
    <t xml:space="preserve">DOMÉSTICOS ACEITE Aceite de cocina usados (contenidos en envases) </t>
  </si>
  <si>
    <t xml:space="preserve">DOMÉSTICOS RAEE [iv] RAEE  </t>
  </si>
  <si>
    <t xml:space="preserve">DOMÉSTICOS Baterias Pilas y Acumuladores </t>
  </si>
  <si>
    <t xml:space="preserve">DOMÉSTICOS Baterias Baterías de Vehículos </t>
  </si>
  <si>
    <t xml:space="preserve">DOMÉSTICOS Textiles Textiles y piel </t>
  </si>
  <si>
    <t xml:space="preserve">DOMÉSTICOS Textiles sanitarios Textiles y celulósicos sanitarios </t>
  </si>
  <si>
    <t xml:space="preserve">DOMÉSTICOS Tierras y RCDs Tierras y Escombros </t>
  </si>
  <si>
    <t xml:space="preserve">DOMÉSTICOS Tierras y RCDs Restos de obras menores </t>
  </si>
  <si>
    <t xml:space="preserve">DOMÉSTICOS Otros Inclasificables mayores de 50 mm </t>
  </si>
  <si>
    <t xml:space="preserve">DOMÉSTICOS Otros Finos &lt; 50 mm (si &gt; 2kg*, se hará una analitica en laboratorio) </t>
  </si>
  <si>
    <t xml:space="preserve">DOMÉSTICOS Otros Cantidad de Producto en Envases (Sólido) </t>
  </si>
  <si>
    <t xml:space="preserve">DOMÉSTICOS Otros Cantidad de Producto en Envases (líquido-no aceite) </t>
  </si>
  <si>
    <t xml:space="preserve">DOMÉSTICOS Otros Caucho </t>
  </si>
  <si>
    <t xml:space="preserve">DOMÉSTICOS Otros Otros otros  (cuerdas multimaterial…) </t>
  </si>
  <si>
    <t>COMERCIALES Papel – cartón  Papel y Cartón envase (Con Pto. Verde)</t>
  </si>
  <si>
    <t>COMERCIALES Papel – cartón  Papel y Cartón envase (Sin Pto. Verde)</t>
  </si>
  <si>
    <t>COMERCIALES Papel – cartón  Papel/Cartón No Envase</t>
  </si>
  <si>
    <t>COMERCIALES Brik  Envase</t>
  </si>
  <si>
    <t>COMERCIALES Vidrio   Envase</t>
  </si>
  <si>
    <t>COMERCIALES Vidrio   No envase</t>
  </si>
  <si>
    <t>COMERCIALES Metales férricos Acero Envase</t>
  </si>
  <si>
    <t>COMERCIALES Metales férricos Acero No envase</t>
  </si>
  <si>
    <t>COMERCIALES Metales no férricos Aluminio Envase</t>
  </si>
  <si>
    <t>COMERCIALES Metales no férricos Aluminio No envase</t>
  </si>
  <si>
    <t>COMERCIALES Madera  Envase</t>
  </si>
  <si>
    <t>COMERCIALES Madera  No envase</t>
  </si>
  <si>
    <t>COMERCIALES Plásticos (excepto SUP*) PET  Envase</t>
  </si>
  <si>
    <t>COMERCIALES Plásticos (excepto SUP*) PET  No envase</t>
  </si>
  <si>
    <t>COMERCIALES Plásticos (excepto SUP*) PEAD Envase</t>
  </si>
  <si>
    <t>COMERCIALES Plásticos (excepto SUP*) PEAD No envase</t>
  </si>
  <si>
    <t>COMERCIALES Plásticos (excepto SUP*) PEBD Envase</t>
  </si>
  <si>
    <t>COMERCIALES Plásticos (excepto SUP*) PEBD No envase</t>
  </si>
  <si>
    <t>COMERCIALES Plásticos (excepto SUP*) PVC Envase</t>
  </si>
  <si>
    <t>COMERCIALES Plásticos (excepto SUP*) PVC No envase</t>
  </si>
  <si>
    <t>COMERCIALES Plásticos (excepto SUP*) PP Envase</t>
  </si>
  <si>
    <t>COMERCIALES Plásticos (excepto SUP*) PP No envase</t>
  </si>
  <si>
    <t>COMERCIALES Plásticos (excepto SUP*) PS (excepto EPS) Envase</t>
  </si>
  <si>
    <t>COMERCIALES Plásticos (excepto SUP*) PS (excepto EPS) No envase</t>
  </si>
  <si>
    <t>COMERCIALES Plásticos (excepto SUP*) EPS Envase</t>
  </si>
  <si>
    <t>COMERCIALES Plásticos (excepto SUP*) EPS No envase</t>
  </si>
  <si>
    <t>COMERCIALES Plásticos (excepto SUP*) Otros Plásticos Envase</t>
  </si>
  <si>
    <t>COMERCIALES Plásticos (excepto SUP*) Otros Plásticos No envase</t>
  </si>
  <si>
    <t xml:space="preserve">COMERCIALES * Plásticos de un solo uso (SUP) [iii] Botellas para bebidas de hasta tres litros de capacidad, incluidos sus tapas y tapones </t>
  </si>
  <si>
    <t xml:space="preserve">COMERCIALES * Plásticos de un solo uso (SUP) [iii] Productos de tabaco con filtro y fitros comercializados para utilizarse en combinación con productos del tabaco </t>
  </si>
  <si>
    <t xml:space="preserve">COMERCIALES * Plásticos de un solo uso (SUP) [iii] Recipientes para alimentos </t>
  </si>
  <si>
    <t xml:space="preserve">COMERCIALES * Plásticos de un solo uso (SUP) [iii] Vasos para bebidas (incluidas sus tapas y tapones) </t>
  </si>
  <si>
    <t xml:space="preserve">COMERCIALES * Plásticos de un solo uso (SUP) [iii] Otros </t>
  </si>
  <si>
    <t xml:space="preserve">COMERCIALES Biorresiduos Restos de alimentos no cocinados y restos derivados de la preparación de alimentos </t>
  </si>
  <si>
    <t xml:space="preserve">COMERCIALES Biorresiduos Restos de alimentos cocinados </t>
  </si>
  <si>
    <t xml:space="preserve">COMERCIALES Biorresiduos Celulosas: Papel de cocina, servilletas </t>
  </si>
  <si>
    <t xml:space="preserve">COMERCIALES Biorresiduos Otros restos de cocina compostables: bolsas, corchos, palillos de madera y otros resto compostables (vasos de papel, etc.) </t>
  </si>
  <si>
    <t xml:space="preserve">COMERCIALES Biorresiduos Derroche alimentario: alimentos caducados y en mal estado (a granel o en envases abiertos, el envase se separará en su fracción) </t>
  </si>
  <si>
    <t xml:space="preserve">COMERCIALES Biorresiduos Restos vegetales (césped, hojas, flores, etc.) </t>
  </si>
  <si>
    <t xml:space="preserve">COMERCIALES Biorresiduos Restos de poda (ramas, arbustos, etc.) </t>
  </si>
  <si>
    <t xml:space="preserve">COMERCIALES ACEITE Aceite de cocina usados (contenidos en envases) </t>
  </si>
  <si>
    <t xml:space="preserve">COMERCIALES RAEE [iv] RAEE  </t>
  </si>
  <si>
    <t xml:space="preserve">COMERCIALES Baterias Pilas y Acumuladores </t>
  </si>
  <si>
    <t xml:space="preserve">COMERCIALES Baterias Baterías de Vehículos </t>
  </si>
  <si>
    <t xml:space="preserve">COMERCIALES Textiles Textiles y piel </t>
  </si>
  <si>
    <t xml:space="preserve">COMERCIALES Textiles sanitarios Textiles y celulósicos sanitarios </t>
  </si>
  <si>
    <t xml:space="preserve">COMERCIALES Tierras y RCDs Tierras y Escombros </t>
  </si>
  <si>
    <t xml:space="preserve">COMERCIALES Tierras y RCDs Restos de obras menores </t>
  </si>
  <si>
    <t xml:space="preserve">COMERCIALES Otros Inclasificables mayores de 50 mm </t>
  </si>
  <si>
    <t xml:space="preserve">COMERCIALES Otros Finos &lt; 50 mm (si &gt; 2kg*, se hará una analitica en laboratorio) </t>
  </si>
  <si>
    <t xml:space="preserve">COMERCIALES Otros Cantidad de Producto en Envases (Sólido) </t>
  </si>
  <si>
    <t xml:space="preserve">COMERCIALES Otros Cantidad de Producto en Envases (líquido-no aceite) </t>
  </si>
  <si>
    <t xml:space="preserve">COMERCIALES Otros Caucho </t>
  </si>
  <si>
    <t xml:space="preserve">COMERCIALES Otros Otros otros  (cuerdas multimaterial…) </t>
  </si>
  <si>
    <t>INDUSTRIALES / AGRICOLAS Papel – cartón  Papel y Cartón envase (Con Pto. Verde)</t>
  </si>
  <si>
    <t>INDUSTRIALES / AGRICOLAS Papel – cartón  Papel y Cartón envase (Sin Pto. Verde)</t>
  </si>
  <si>
    <t>INDUSTRIALES / AGRICOLAS Papel – cartón  Papel/Cartón No Envase</t>
  </si>
  <si>
    <t>INDUSTRIALES / AGRICOLAS Brik  Envase</t>
  </si>
  <si>
    <t>INDUSTRIALES / AGRICOLAS Vidrio   Envase</t>
  </si>
  <si>
    <t>INDUSTRIALES / AGRICOLAS Vidrio   No envase</t>
  </si>
  <si>
    <t>INDUSTRIALES / AGRICOLAS Metales férricos Acero Envase</t>
  </si>
  <si>
    <t>INDUSTRIALES / AGRICOLAS Metales férricos Acero No envase</t>
  </si>
  <si>
    <t>INDUSTRIALES / AGRICOLAS Metales no férricos Aluminio Envase</t>
  </si>
  <si>
    <t>INDUSTRIALES / AGRICOLAS Metales no férricos Aluminio No envase</t>
  </si>
  <si>
    <t>INDUSTRIALES / AGRICOLAS Madera  Envase</t>
  </si>
  <si>
    <t>INDUSTRIALES / AGRICOLAS Madera  No envase</t>
  </si>
  <si>
    <t>INDUSTRIALES / AGRICOLAS Plásticos (excepto SUP*) PET  Envase</t>
  </si>
  <si>
    <t>INDUSTRIALES / AGRICOLAS Plásticos (excepto SUP*) PET  No envase</t>
  </si>
  <si>
    <t>INDUSTRIALES / AGRICOLAS Plásticos (excepto SUP*) PEAD Envase</t>
  </si>
  <si>
    <t>INDUSTRIALES / AGRICOLAS Plásticos (excepto SUP*) PEAD No envase</t>
  </si>
  <si>
    <t>INDUSTRIALES / AGRICOLAS Plásticos (excepto SUP*) PEBD Envase</t>
  </si>
  <si>
    <t>INDUSTRIALES / AGRICOLAS Plásticos (excepto SUP*) PEBD No envase</t>
  </si>
  <si>
    <t>INDUSTRIALES / AGRICOLAS Plásticos (excepto SUP*) PVC Envase</t>
  </si>
  <si>
    <t>INDUSTRIALES / AGRICOLAS Plásticos (excepto SUP*) PVC No envase</t>
  </si>
  <si>
    <t>INDUSTRIALES / AGRICOLAS Plásticos (excepto SUP*) PP Envase</t>
  </si>
  <si>
    <t>INDUSTRIALES / AGRICOLAS Plásticos (excepto SUP*) PP No envase</t>
  </si>
  <si>
    <t>INDUSTRIALES / AGRICOLAS Plásticos (excepto SUP*) PS (excepto EPS) Envase</t>
  </si>
  <si>
    <t>INDUSTRIALES / AGRICOLAS Plásticos (excepto SUP*) PS (excepto EPS) No envase</t>
  </si>
  <si>
    <t>INDUSTRIALES / AGRICOLAS Plásticos (excepto SUP*) EPS Envase</t>
  </si>
  <si>
    <t>INDUSTRIALES / AGRICOLAS Plásticos (excepto SUP*) EPS No envase</t>
  </si>
  <si>
    <t>INDUSTRIALES / AGRICOLAS Plásticos (excepto SUP*) Otros Plásticos Envase</t>
  </si>
  <si>
    <t>INDUSTRIALES / AGRICOLAS Plásticos (excepto SUP*) Otros Plásticos No envase</t>
  </si>
  <si>
    <t xml:space="preserve">INDUSTRIALES / AGRICOLAS * Plásticos de un solo uso (SUP) [iii] Botellas para bebidas de hasta tres litros de capacidad, incluidos sus tapas y tapones </t>
  </si>
  <si>
    <t xml:space="preserve">INDUSTRIALES / AGRICOLAS * Plásticos de un solo uso (SUP) [iii] Productos de tabaco con filtro y fitros comercializados para utilizarse en combinación con productos del tabaco </t>
  </si>
  <si>
    <t xml:space="preserve">INDUSTRIALES / AGRICOLAS * Plásticos de un solo uso (SUP) [iii] Recipientes para alimentos </t>
  </si>
  <si>
    <t xml:space="preserve">INDUSTRIALES / AGRICOLAS * Plásticos de un solo uso (SUP) [iii] Vasos para bebidas (incluidas sus tapas y tapones) </t>
  </si>
  <si>
    <t xml:space="preserve">INDUSTRIALES / AGRICOLAS * Plásticos de un solo uso (SUP) [iii] Otros </t>
  </si>
  <si>
    <t xml:space="preserve">INDUSTRIALES / AGRICOLAS Biorresiduos Restos de alimentos no cocinados y restos derivados de la preparación de alimentos </t>
  </si>
  <si>
    <t xml:space="preserve">INDUSTRIALES / AGRICOLAS Biorresiduos Restos de alimentos cocinados </t>
  </si>
  <si>
    <t xml:space="preserve">INDUSTRIALES / AGRICOLAS Biorresiduos Celulosas: Papel de cocina, servilletas </t>
  </si>
  <si>
    <t xml:space="preserve">INDUSTRIALES / AGRICOLAS Biorresiduos Otros restos de cocina compostables: bolsas, corchos, palillos de madera y otros resto compostables (vasos de papel, etc.) </t>
  </si>
  <si>
    <t xml:space="preserve">INDUSTRIALES / AGRICOLAS Biorresiduos Derroche alimentario: alimentos caducados y en mal estado (a granel o en envases abiertos, el envase se separará en su fracción) </t>
  </si>
  <si>
    <t xml:space="preserve">INDUSTRIALES / AGRICOLAS Biorresiduos Restos vegetales (césped, hojas, flores, etc.) </t>
  </si>
  <si>
    <t xml:space="preserve">INDUSTRIALES / AGRICOLAS Biorresiduos Restos de poda (ramas, arbustos, etc.) </t>
  </si>
  <si>
    <t xml:space="preserve">INDUSTRIALES / AGRICOLAS ACEITE Aceite de cocina usados (contenidos en envases) </t>
  </si>
  <si>
    <t xml:space="preserve">INDUSTRIALES / AGRICOLAS RAEE [iv] RAEE  </t>
  </si>
  <si>
    <t xml:space="preserve">INDUSTRIALES / AGRICOLAS Baterias Pilas y Acumuladores </t>
  </si>
  <si>
    <t xml:space="preserve">INDUSTRIALES / AGRICOLAS Baterias Baterías de Vehículos </t>
  </si>
  <si>
    <t xml:space="preserve">INDUSTRIALES / AGRICOLAS Textiles Textiles y piel </t>
  </si>
  <si>
    <t xml:space="preserve">INDUSTRIALES / AGRICOLAS Textiles sanitarios Textiles y celulósicos sanitarios </t>
  </si>
  <si>
    <t xml:space="preserve">INDUSTRIALES / AGRICOLAS Tierras y RCDs Tierras y Escombros </t>
  </si>
  <si>
    <t xml:space="preserve">INDUSTRIALES / AGRICOLAS Tierras y RCDs Restos de obras menores </t>
  </si>
  <si>
    <t xml:space="preserve">INDUSTRIALES / AGRICOLAS Otros Inclasificables mayores de 50 mm </t>
  </si>
  <si>
    <t xml:space="preserve">INDUSTRIALES / AGRICOLAS Otros Finos &lt; 50 mm (si &gt; 2kg*, se hará una analitica en laboratorio) </t>
  </si>
  <si>
    <t xml:space="preserve">INDUSTRIALES / AGRICOLAS Otros Cantidad de Producto en Envases (Sólido) </t>
  </si>
  <si>
    <t xml:space="preserve">INDUSTRIALES / AGRICOLAS Otros Cantidad de Producto en Envases (líquido-no aceite) </t>
  </si>
  <si>
    <t xml:space="preserve">INDUSTRIALES / AGRICOLAS Otros Caucho </t>
  </si>
  <si>
    <t xml:space="preserve">INDUSTRIALES / AGRICOLAS Otros Otros otros  (cuerdas multimaterial…) </t>
  </si>
  <si>
    <t>Total</t>
  </si>
  <si>
    <t>Total Papel – cartón</t>
  </si>
  <si>
    <t>% Papel – cartón</t>
  </si>
  <si>
    <t>Total Brik</t>
  </si>
  <si>
    <t>% Brik</t>
  </si>
  <si>
    <t xml:space="preserve">Total Vidrio </t>
  </si>
  <si>
    <t xml:space="preserve">% Vidrio </t>
  </si>
  <si>
    <t>Total Metales férricos</t>
  </si>
  <si>
    <t>% Metales férricos</t>
  </si>
  <si>
    <t>Total Metales no férricos</t>
  </si>
  <si>
    <t>% Metales no férricos</t>
  </si>
  <si>
    <t>Total Madera</t>
  </si>
  <si>
    <t>% Madera</t>
  </si>
  <si>
    <t>Total Plásticos (excepto SUP*)</t>
  </si>
  <si>
    <t>% Plásticos (excepto SUP*)</t>
  </si>
  <si>
    <t>Total Biorresiduos</t>
  </si>
  <si>
    <t>% Biorresiduos</t>
  </si>
  <si>
    <t>Total ACEITE</t>
  </si>
  <si>
    <t>% ACEITE</t>
  </si>
  <si>
    <t>Total RAEE [iv]</t>
  </si>
  <si>
    <t>% RAEE [iv]</t>
  </si>
  <si>
    <t>Total Baterias</t>
  </si>
  <si>
    <t>% Baterias</t>
  </si>
  <si>
    <t>Total Textiles</t>
  </si>
  <si>
    <t>% Textiles</t>
  </si>
  <si>
    <t>Total Textiles sanitarios</t>
  </si>
  <si>
    <t>% Textiles sanitarios</t>
  </si>
  <si>
    <t>Total Tierras y RCDs</t>
  </si>
  <si>
    <t>% Tierras y RCDs</t>
  </si>
  <si>
    <t>Total Otros</t>
  </si>
  <si>
    <t>% Otros</t>
  </si>
  <si>
    <t>PTR Tafalla</t>
  </si>
  <si>
    <t>PTR Sangúesa</t>
  </si>
  <si>
    <t>PTR Santesteban</t>
  </si>
  <si>
    <t>Cárcar</t>
  </si>
  <si>
    <t>Culebrete</t>
  </si>
  <si>
    <t>Muelle Peralta</t>
  </si>
  <si>
    <t>Muelle de Arbizu</t>
  </si>
  <si>
    <t>Planta de compostaje de Arbizu</t>
  </si>
  <si>
    <t>Planta de compostaje de Josenea</t>
  </si>
  <si>
    <t>Alto Araxes</t>
  </si>
  <si>
    <t>Ayuntamiento de Baztán</t>
  </si>
  <si>
    <t>Bortziriak</t>
  </si>
  <si>
    <t>Bidausi</t>
  </si>
  <si>
    <t>Montejurra</t>
  </si>
  <si>
    <t>Valdizarbe</t>
  </si>
  <si>
    <t>Mairaga</t>
  </si>
  <si>
    <t>Malerreka</t>
  </si>
  <si>
    <t>Mendialdea</t>
  </si>
  <si>
    <t>Sakana</t>
  </si>
  <si>
    <t>Ribera Alta</t>
  </si>
  <si>
    <t>Ribera</t>
  </si>
  <si>
    <t xml:space="preserve">Comarca de Sanguesa </t>
  </si>
  <si>
    <t>Irati</t>
  </si>
  <si>
    <t>Esca Salazar</t>
  </si>
  <si>
    <t>Fracciones</t>
  </si>
  <si>
    <t>Húmedo-Seco</t>
  </si>
  <si>
    <t>Contenedor</t>
  </si>
  <si>
    <t>Puerta a puerta</t>
  </si>
  <si>
    <t>Solicitado/impropio</t>
  </si>
  <si>
    <t>Detalle residuo</t>
  </si>
  <si>
    <t>CARACTERIZACIONES S.L.</t>
  </si>
  <si>
    <t>5896 HYT</t>
  </si>
  <si>
    <t>NO</t>
  </si>
  <si>
    <t>Total * Plásticos de un solo uso (SUP)</t>
  </si>
  <si>
    <t>% * Plásticos de un solo uso (SUP)</t>
  </si>
  <si>
    <t>y asi…</t>
  </si>
  <si>
    <t>El CRN ha modificado su ficha habitual para poder combinar la informacion de esta con la solictada por el Gobierno de Navarra</t>
  </si>
  <si>
    <t>El Gobierno de Navarra solicita, como requisito para la subvencion de las caracterizaciones dentro del Fondo de Residuos, que los resultados de las caracterizaciones tengan minimo la informacion de la tabla del anexo (enlace)</t>
  </si>
  <si>
    <t>Para facilitar el trabajo de campo el equipo de caracterizadores pueden llevar tres fichas en papel (por cada tipo de origen y filtrar estos a la hora de volcar la informacion en la ficha de caracterizacion A3.1</t>
  </si>
  <si>
    <t>Desde el Consorcio de residuos hemos referenciado las celdas de la Ficha GN A3.2 a la Ficha de caracterizacion A3.1 para facilitar el trabajo y evitar errores humanos a la hora de rellenar la informacion</t>
  </si>
  <si>
    <t>Desde el Consorcio de residuos hemos programado la ficha  de caracterizacion A3.1 para facilitar la elaboracion de informes, asignar propios e impropios según la fraccion recogida y la recopilacion de la informacion de cada ficha en una Tabla recopilatoria A3.3</t>
  </si>
  <si>
    <t>Notas Aclaratorias</t>
  </si>
  <si>
    <t>En el caso de que la empresa adjudicataria quiera introducir modificaciones en estas tablas deberá contar con la aprobacion del CRN y asegurar que la programacion/automatizacion funciona de forma correcta.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</si>
</sst>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 h:mm;@"/>
  </numFmts>
  <fonts count="18" x14ac:knownFonts="1">
    <font>
      <sz val="11"/>
      <color theme="1"/>
      <name val="Calibri"/>
      <family val="2"/>
      <scheme val="minor"/>
    </font>
    <font>
      <b/>
      <sz val="7"/>
      <color theme="0"/>
      <name val="Cambria"/>
      <family val="1"/>
    </font>
    <font>
      <b/>
      <sz val="7"/>
      <name val="Cambria"/>
      <family val="1"/>
    </font>
    <font>
      <b/>
      <sz val="7"/>
      <color theme="3"/>
      <name val="Cambria"/>
      <family val="1"/>
    </font>
    <font>
      <b/>
      <sz val="7"/>
      <color theme="1"/>
      <name val="Cambria"/>
      <family val="1"/>
    </font>
    <font>
      <sz val="7"/>
      <name val="Cambria"/>
      <family val="1"/>
    </font>
    <font>
      <b/>
      <sz val="7"/>
      <color rgb="FFFF0000"/>
      <name val="Cambria"/>
      <family val="1"/>
    </font>
    <font>
      <sz val="7"/>
      <color theme="3"/>
      <name val="Cambria"/>
      <family val="1"/>
    </font>
    <font>
      <u/>
      <sz val="10"/>
      <color theme="10"/>
      <name val="Arial"/>
      <family val="2"/>
    </font>
    <font>
      <vertAlign val="superscript"/>
      <sz val="10"/>
      <color theme="3"/>
      <name val="Calibri"/>
      <family val="2"/>
      <scheme val="minor"/>
    </font>
    <font>
      <sz val="10"/>
      <color theme="3"/>
      <name val="Calibri"/>
      <family val="2"/>
      <scheme val="minor"/>
    </font>
    <font>
      <u/>
      <sz val="10"/>
      <color theme="3"/>
      <name val="Calibri"/>
      <family val="2"/>
      <scheme val="minor"/>
    </font>
    <font>
      <sz val="10"/>
      <color theme="1"/>
      <name val="Calibri"/>
      <family val="2"/>
      <scheme val="minor"/>
    </font>
    <font>
      <sz val="10"/>
      <name val="Calibri"/>
      <family val="2"/>
      <scheme val="minor"/>
    </font>
    <font>
      <sz val="11"/>
      <color theme="1"/>
      <name val="Calibri"/>
      <family val="2"/>
      <scheme val="minor"/>
    </font>
    <font>
      <b/>
      <sz val="10"/>
      <color theme="1"/>
      <name val="Calibri"/>
      <family val="2"/>
      <scheme val="minor"/>
    </font>
    <font>
      <b/>
      <sz val="11"/>
      <color theme="1"/>
      <name val="Calibri"/>
      <family val="2"/>
      <scheme val="minor"/>
    </font>
    <font>
      <b/>
      <sz val="10"/>
      <name val="Calibri"/>
      <family val="2"/>
      <scheme val="minor"/>
    </font>
  </fonts>
  <fills count="27">
    <fill>
      <patternFill patternType="none"/>
    </fill>
    <fill>
      <patternFill patternType="gray125"/>
    </fill>
    <fill>
      <patternFill patternType="solid">
        <fgColor rgb="FF1F3864"/>
        <bgColor indexed="64"/>
      </patternFill>
    </fill>
    <fill>
      <patternFill patternType="solid">
        <fgColor rgb="FFF7CAAC"/>
        <bgColor indexed="64"/>
      </patternFill>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theme="5"/>
        <bgColor indexed="64"/>
      </patternFill>
    </fill>
    <fill>
      <patternFill patternType="solid">
        <fgColor theme="9"/>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EABE8E"/>
        <bgColor indexed="64"/>
      </patternFill>
    </fill>
    <fill>
      <patternFill patternType="solid">
        <fgColor rgb="FFCCCCFF"/>
        <bgColor indexed="64"/>
      </patternFill>
    </fill>
    <fill>
      <patternFill patternType="solid">
        <fgColor theme="0" tint="-0.34998626667073579"/>
        <bgColor indexed="64"/>
      </patternFill>
    </fill>
    <fill>
      <patternFill patternType="solid">
        <fgColor rgb="FFDDDDDD"/>
        <bgColor indexed="64"/>
      </patternFill>
    </fill>
    <fill>
      <patternFill patternType="solid">
        <fgColor rgb="FFFCD0F4"/>
        <bgColor indexed="64"/>
      </patternFill>
    </fill>
    <fill>
      <patternFill patternType="solid">
        <fgColor theme="0" tint="-0.499984740745262"/>
        <bgColor indexed="64"/>
      </patternFill>
    </fill>
    <fill>
      <patternFill patternType="solid">
        <fgColor theme="8" tint="0.59999389629810485"/>
        <bgColor indexed="64"/>
      </patternFill>
    </fill>
  </fills>
  <borders count="4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9" fontId="14" fillId="0" borderId="0" applyFont="0" applyFill="0" applyBorder="0" applyAlignment="0" applyProtection="0"/>
  </cellStyleXfs>
  <cellXfs count="237">
    <xf numFmtId="0" fontId="0" fillId="0" borderId="0" xfId="0"/>
    <xf numFmtId="0" fontId="2" fillId="4" borderId="9" xfId="0" applyFont="1" applyFill="1" applyBorder="1" applyAlignment="1">
      <alignment horizontal="center" vertical="center" wrapText="1"/>
    </xf>
    <xf numFmtId="0" fontId="5" fillId="8" borderId="5" xfId="0" applyFont="1" applyFill="1" applyBorder="1" applyAlignment="1">
      <alignment vertical="center" wrapText="1"/>
    </xf>
    <xf numFmtId="0" fontId="5" fillId="4" borderId="24" xfId="0" applyFont="1" applyFill="1" applyBorder="1" applyAlignment="1">
      <alignment vertical="center" wrapText="1"/>
    </xf>
    <xf numFmtId="0" fontId="5" fillId="8" borderId="15" xfId="0" applyFont="1" applyFill="1" applyBorder="1" applyAlignment="1">
      <alignment vertical="center" wrapText="1"/>
    </xf>
    <xf numFmtId="0" fontId="5" fillId="8" borderId="21" xfId="0" applyFont="1" applyFill="1" applyBorder="1" applyAlignment="1">
      <alignment vertical="center" wrapText="1"/>
    </xf>
    <xf numFmtId="0" fontId="5" fillId="4" borderId="0" xfId="0" applyFont="1" applyFill="1" applyBorder="1" applyAlignment="1">
      <alignment vertical="center" wrapText="1"/>
    </xf>
    <xf numFmtId="0" fontId="5" fillId="9" borderId="13" xfId="0" applyFont="1" applyFill="1" applyBorder="1" applyAlignment="1" applyProtection="1">
      <alignment horizontal="left" vertical="center" wrapText="1"/>
      <protection locked="0"/>
    </xf>
    <xf numFmtId="0" fontId="2" fillId="4" borderId="2" xfId="0" applyFont="1" applyFill="1" applyBorder="1" applyAlignment="1">
      <alignment horizontal="center" vertical="center" wrapText="1"/>
    </xf>
    <xf numFmtId="0" fontId="2" fillId="9" borderId="17" xfId="0" applyFont="1" applyFill="1" applyBorder="1" applyAlignment="1">
      <alignment horizontal="left" vertical="center"/>
    </xf>
    <xf numFmtId="0" fontId="8" fillId="0" borderId="0" xfId="1" applyAlignment="1">
      <alignment horizontal="justify" vertical="center"/>
    </xf>
    <xf numFmtId="0" fontId="9" fillId="0" borderId="0" xfId="0" applyFont="1"/>
    <xf numFmtId="0" fontId="10" fillId="0" borderId="0" xfId="0" applyFont="1"/>
    <xf numFmtId="0" fontId="11" fillId="0" borderId="0" xfId="1" applyFont="1"/>
    <xf numFmtId="0" fontId="5" fillId="8" borderId="28" xfId="0" applyFont="1" applyFill="1" applyBorder="1" applyAlignment="1">
      <alignment vertical="center" wrapText="1"/>
    </xf>
    <xf numFmtId="0" fontId="5" fillId="4" borderId="21" xfId="0" applyFont="1" applyFill="1" applyBorder="1" applyAlignment="1">
      <alignment vertical="center" wrapText="1"/>
    </xf>
    <xf numFmtId="0" fontId="5" fillId="8" borderId="31" xfId="0" applyFont="1" applyFill="1" applyBorder="1" applyAlignment="1">
      <alignment vertical="center" wrapText="1"/>
    </xf>
    <xf numFmtId="0" fontId="5" fillId="4" borderId="13" xfId="0" applyFont="1" applyFill="1" applyBorder="1" applyAlignment="1">
      <alignment vertical="center" wrapText="1"/>
    </xf>
    <xf numFmtId="0" fontId="5" fillId="8" borderId="13" xfId="0" applyFont="1" applyFill="1" applyBorder="1" applyAlignment="1">
      <alignment vertical="center" wrapText="1"/>
    </xf>
    <xf numFmtId="0" fontId="5" fillId="9" borderId="31" xfId="0" applyFont="1" applyFill="1" applyBorder="1" applyAlignment="1" applyProtection="1">
      <alignment horizontal="left" vertical="center" wrapText="1"/>
      <protection locked="0"/>
    </xf>
    <xf numFmtId="0" fontId="2" fillId="4" borderId="33"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4" borderId="14" xfId="0" applyFont="1" applyFill="1" applyBorder="1" applyAlignment="1">
      <alignment horizontal="left" vertical="center" wrapText="1"/>
    </xf>
    <xf numFmtId="0" fontId="2" fillId="9" borderId="10" xfId="0" applyFont="1" applyFill="1" applyBorder="1" applyAlignment="1">
      <alignment horizontal="left" vertical="center"/>
    </xf>
    <xf numFmtId="0" fontId="2" fillId="9" borderId="12" xfId="0" applyFont="1" applyFill="1" applyBorder="1" applyAlignment="1">
      <alignment horizontal="left" vertical="center"/>
    </xf>
    <xf numFmtId="0" fontId="5" fillId="9" borderId="29" xfId="0" applyFont="1" applyFill="1" applyBorder="1" applyAlignment="1" applyProtection="1">
      <alignment horizontal="left" vertical="center" wrapText="1"/>
      <protection locked="0"/>
    </xf>
    <xf numFmtId="0" fontId="5" fillId="9" borderId="32" xfId="0" applyFont="1" applyFill="1" applyBorder="1" applyAlignment="1" applyProtection="1">
      <alignment horizontal="left" vertical="center" wrapText="1"/>
      <protection locked="0"/>
    </xf>
    <xf numFmtId="0" fontId="5" fillId="10" borderId="28" xfId="0" applyFont="1" applyFill="1" applyBorder="1" applyAlignment="1">
      <alignment vertical="center" wrapText="1"/>
    </xf>
    <xf numFmtId="0" fontId="5" fillId="10" borderId="21" xfId="0" applyFont="1" applyFill="1" applyBorder="1" applyAlignment="1">
      <alignment vertical="center" wrapText="1"/>
    </xf>
    <xf numFmtId="0" fontId="2" fillId="9" borderId="17" xfId="0" applyFont="1" applyFill="1" applyBorder="1" applyAlignment="1">
      <alignment horizontal="left" vertical="center"/>
    </xf>
    <xf numFmtId="0" fontId="5" fillId="10" borderId="13" xfId="0" applyFont="1" applyFill="1" applyBorder="1" applyAlignment="1">
      <alignment horizontal="left" vertical="center"/>
    </xf>
    <xf numFmtId="0" fontId="5" fillId="10" borderId="31" xfId="0" applyFont="1" applyFill="1" applyBorder="1" applyAlignment="1">
      <alignment horizontal="left" vertical="center"/>
    </xf>
    <xf numFmtId="0" fontId="12" fillId="5" borderId="0" xfId="0" applyFont="1" applyFill="1"/>
    <xf numFmtId="0" fontId="0" fillId="0" borderId="0" xfId="0" pivotButton="1"/>
    <xf numFmtId="0" fontId="0" fillId="0" borderId="0" xfId="0" applyAlignment="1">
      <alignment horizontal="left"/>
    </xf>
    <xf numFmtId="0" fontId="0" fillId="0" borderId="0" xfId="0" applyAlignment="1">
      <alignment horizontal="left" indent="1"/>
    </xf>
    <xf numFmtId="0" fontId="15" fillId="11" borderId="39" xfId="0" applyFont="1" applyFill="1" applyBorder="1"/>
    <xf numFmtId="0" fontId="15" fillId="5" borderId="0" xfId="0" applyFont="1" applyFill="1"/>
    <xf numFmtId="10" fontId="15" fillId="11" borderId="39" xfId="2" applyNumberFormat="1" applyFont="1" applyFill="1" applyBorder="1"/>
    <xf numFmtId="10" fontId="12" fillId="5" borderId="0" xfId="2" applyNumberFormat="1" applyFont="1" applyFill="1"/>
    <xf numFmtId="0" fontId="12" fillId="12" borderId="39" xfId="0" applyFont="1" applyFill="1" applyBorder="1"/>
    <xf numFmtId="0" fontId="12" fillId="13" borderId="39" xfId="0" applyFont="1" applyFill="1" applyBorder="1"/>
    <xf numFmtId="0" fontId="12" fillId="14" borderId="39" xfId="0" applyFont="1" applyFill="1" applyBorder="1"/>
    <xf numFmtId="0" fontId="12" fillId="15" borderId="39" xfId="0" applyFont="1" applyFill="1" applyBorder="1"/>
    <xf numFmtId="0" fontId="12" fillId="16" borderId="39" xfId="0" applyFont="1" applyFill="1" applyBorder="1"/>
    <xf numFmtId="0" fontId="13" fillId="12" borderId="39" xfId="0" applyFont="1" applyFill="1" applyBorder="1" applyAlignment="1">
      <alignment vertical="center" wrapText="1"/>
    </xf>
    <xf numFmtId="10" fontId="12" fillId="12" borderId="39" xfId="2" applyNumberFormat="1" applyFont="1" applyFill="1" applyBorder="1"/>
    <xf numFmtId="0" fontId="12" fillId="17" borderId="39" xfId="0" applyFont="1" applyFill="1" applyBorder="1"/>
    <xf numFmtId="0" fontId="13" fillId="17" borderId="39" xfId="0" applyFont="1" applyFill="1" applyBorder="1" applyAlignment="1">
      <alignment vertical="center" wrapText="1"/>
    </xf>
    <xf numFmtId="10" fontId="12" fillId="17" borderId="39" xfId="2" applyNumberFormat="1" applyFont="1" applyFill="1" applyBorder="1"/>
    <xf numFmtId="0" fontId="13" fillId="15" borderId="39" xfId="0" applyFont="1" applyFill="1" applyBorder="1" applyAlignment="1">
      <alignment vertical="center" wrapText="1"/>
    </xf>
    <xf numFmtId="10" fontId="12" fillId="15" borderId="39" xfId="2" applyNumberFormat="1" applyFont="1" applyFill="1" applyBorder="1"/>
    <xf numFmtId="0" fontId="12" fillId="18" borderId="39" xfId="0" applyFont="1" applyFill="1" applyBorder="1"/>
    <xf numFmtId="10" fontId="12" fillId="18" borderId="39" xfId="2" applyNumberFormat="1" applyFont="1" applyFill="1" applyBorder="1"/>
    <xf numFmtId="0" fontId="13" fillId="13" borderId="39" xfId="0" applyFont="1" applyFill="1" applyBorder="1" applyAlignment="1">
      <alignment vertical="center" wrapText="1"/>
    </xf>
    <xf numFmtId="10" fontId="12" fillId="13" borderId="39" xfId="2" applyNumberFormat="1" applyFont="1" applyFill="1" applyBorder="1"/>
    <xf numFmtId="0" fontId="12" fillId="19" borderId="39" xfId="0" applyFont="1" applyFill="1" applyBorder="1"/>
    <xf numFmtId="0" fontId="13" fillId="19" borderId="39" xfId="0" applyFont="1" applyFill="1" applyBorder="1" applyAlignment="1">
      <alignment vertical="center" wrapText="1"/>
    </xf>
    <xf numFmtId="10" fontId="12" fillId="19" borderId="39" xfId="2" applyNumberFormat="1" applyFont="1" applyFill="1" applyBorder="1"/>
    <xf numFmtId="0" fontId="0" fillId="17" borderId="39" xfId="0" applyFill="1" applyBorder="1"/>
    <xf numFmtId="0" fontId="13" fillId="17" borderId="39" xfId="0" applyFont="1" applyFill="1" applyBorder="1" applyAlignment="1" applyProtection="1">
      <alignment vertical="center" wrapText="1"/>
      <protection locked="0"/>
    </xf>
    <xf numFmtId="0" fontId="13" fillId="17" borderId="39" xfId="0" applyFont="1" applyFill="1" applyBorder="1" applyAlignment="1">
      <alignment horizontal="left" vertical="center"/>
    </xf>
    <xf numFmtId="0" fontId="13" fillId="17" borderId="39" xfId="0" applyFont="1" applyFill="1" applyBorder="1" applyAlignment="1">
      <alignment vertical="top" wrapText="1"/>
    </xf>
    <xf numFmtId="0" fontId="13" fillId="18" borderId="39" xfId="0" applyFont="1" applyFill="1" applyBorder="1" applyAlignment="1">
      <alignment vertical="top" wrapText="1"/>
    </xf>
    <xf numFmtId="0" fontId="13" fillId="18" borderId="39" xfId="0" applyFont="1" applyFill="1" applyBorder="1" applyAlignment="1">
      <alignment horizontal="left" vertical="center"/>
    </xf>
    <xf numFmtId="0" fontId="12" fillId="20" borderId="39" xfId="0" applyFont="1" applyFill="1" applyBorder="1"/>
    <xf numFmtId="0" fontId="13" fillId="20" borderId="39" xfId="0" applyFont="1" applyFill="1" applyBorder="1" applyAlignment="1">
      <alignment vertical="top" wrapText="1"/>
    </xf>
    <xf numFmtId="0" fontId="0" fillId="20" borderId="39" xfId="0" applyFill="1" applyBorder="1"/>
    <xf numFmtId="10" fontId="12" fillId="20" borderId="39" xfId="2" applyNumberFormat="1" applyFont="1" applyFill="1" applyBorder="1"/>
    <xf numFmtId="0" fontId="13" fillId="21" borderId="39" xfId="0" applyFont="1" applyFill="1" applyBorder="1" applyAlignment="1">
      <alignment horizontal="left" vertical="center"/>
    </xf>
    <xf numFmtId="0" fontId="13" fillId="21" borderId="39" xfId="0" applyFont="1" applyFill="1" applyBorder="1" applyAlignment="1" applyProtection="1">
      <alignment vertical="center" wrapText="1"/>
      <protection locked="0"/>
    </xf>
    <xf numFmtId="0" fontId="12" fillId="21" borderId="39" xfId="0" applyFont="1" applyFill="1" applyBorder="1"/>
    <xf numFmtId="10" fontId="12" fillId="21" borderId="39" xfId="2" applyNumberFormat="1" applyFont="1" applyFill="1" applyBorder="1"/>
    <xf numFmtId="0" fontId="13" fillId="21" borderId="39" xfId="0" applyFont="1" applyFill="1" applyBorder="1" applyAlignment="1">
      <alignment vertical="center"/>
    </xf>
    <xf numFmtId="0" fontId="13" fillId="22" borderId="39" xfId="0" applyFont="1" applyFill="1" applyBorder="1" applyAlignment="1">
      <alignment horizontal="left" vertical="center"/>
    </xf>
    <xf numFmtId="0" fontId="13" fillId="22" borderId="39" xfId="0" applyFont="1" applyFill="1" applyBorder="1" applyAlignment="1" applyProtection="1">
      <alignment vertical="center" wrapText="1"/>
      <protection locked="0"/>
    </xf>
    <xf numFmtId="0" fontId="12" fillId="22" borderId="39" xfId="0" applyFont="1" applyFill="1" applyBorder="1"/>
    <xf numFmtId="10" fontId="12" fillId="22" borderId="39" xfId="2" applyNumberFormat="1" applyFont="1" applyFill="1" applyBorder="1"/>
    <xf numFmtId="0" fontId="13" fillId="23" borderId="39" xfId="0" applyFont="1" applyFill="1" applyBorder="1" applyAlignment="1">
      <alignment vertical="center"/>
    </xf>
    <xf numFmtId="0" fontId="13" fillId="23" borderId="39" xfId="0" applyFont="1" applyFill="1" applyBorder="1" applyAlignment="1" applyProtection="1">
      <alignment horizontal="left" vertical="center" wrapText="1"/>
      <protection locked="0"/>
    </xf>
    <xf numFmtId="0" fontId="12" fillId="23" borderId="39" xfId="0" applyFont="1" applyFill="1" applyBorder="1"/>
    <xf numFmtId="10" fontId="12" fillId="23" borderId="39" xfId="2" applyNumberFormat="1" applyFont="1" applyFill="1" applyBorder="1"/>
    <xf numFmtId="0" fontId="13" fillId="23" borderId="39" xfId="0" applyFont="1" applyFill="1" applyBorder="1" applyAlignment="1" applyProtection="1">
      <alignment vertical="center" wrapText="1"/>
      <protection locked="0"/>
    </xf>
    <xf numFmtId="0" fontId="13" fillId="24" borderId="39" xfId="0" applyFont="1" applyFill="1" applyBorder="1" applyAlignment="1">
      <alignment horizontal="left" vertical="center"/>
    </xf>
    <xf numFmtId="0" fontId="13" fillId="24" borderId="39" xfId="0" applyFont="1" applyFill="1" applyBorder="1" applyAlignment="1" applyProtection="1">
      <alignment vertical="center" wrapText="1"/>
      <protection locked="0"/>
    </xf>
    <xf numFmtId="0" fontId="12" fillId="24" borderId="39" xfId="0" applyFont="1" applyFill="1" applyBorder="1"/>
    <xf numFmtId="10" fontId="12" fillId="24" borderId="39" xfId="2" applyNumberFormat="1" applyFont="1" applyFill="1" applyBorder="1"/>
    <xf numFmtId="0" fontId="13" fillId="6" borderId="39" xfId="0" applyFont="1" applyFill="1" applyBorder="1" applyAlignment="1">
      <alignment vertical="center" wrapText="1"/>
    </xf>
    <xf numFmtId="0" fontId="0" fillId="23" borderId="39" xfId="0" applyFill="1" applyBorder="1"/>
    <xf numFmtId="0" fontId="0" fillId="10" borderId="39" xfId="0" applyFill="1" applyBorder="1"/>
    <xf numFmtId="0" fontId="13" fillId="23" borderId="39" xfId="0" applyFont="1" applyFill="1" applyBorder="1" applyAlignment="1">
      <alignment vertical="center" wrapText="1"/>
    </xf>
    <xf numFmtId="0" fontId="13" fillId="25" borderId="39" xfId="0" applyFont="1" applyFill="1" applyBorder="1" applyAlignment="1">
      <alignment vertical="top" wrapText="1"/>
    </xf>
    <xf numFmtId="0" fontId="15" fillId="11" borderId="39" xfId="0" applyFont="1" applyFill="1" applyBorder="1" applyAlignment="1">
      <alignment horizontal="center" vertical="center" wrapText="1"/>
    </xf>
    <xf numFmtId="0" fontId="15" fillId="11" borderId="24" xfId="0" applyFont="1" applyFill="1" applyBorder="1" applyAlignment="1">
      <alignment horizontal="center" vertical="center" wrapText="1"/>
    </xf>
    <xf numFmtId="0" fontId="0" fillId="0" borderId="0" xfId="0" applyAlignment="1">
      <alignment horizontal="center" vertical="center" wrapText="1"/>
    </xf>
    <xf numFmtId="0" fontId="12" fillId="5" borderId="0" xfId="0" applyNumberFormat="1" applyFont="1" applyFill="1"/>
    <xf numFmtId="0" fontId="15" fillId="11" borderId="39" xfId="0" applyNumberFormat="1" applyFont="1" applyFill="1" applyBorder="1"/>
    <xf numFmtId="0" fontId="13" fillId="12" borderId="39" xfId="0" applyNumberFormat="1" applyFont="1" applyFill="1" applyBorder="1" applyAlignment="1">
      <alignment vertical="center" wrapText="1"/>
    </xf>
    <xf numFmtId="0" fontId="13" fillId="17" borderId="39" xfId="0" applyNumberFormat="1" applyFont="1" applyFill="1" applyBorder="1" applyAlignment="1">
      <alignment vertical="center" wrapText="1"/>
    </xf>
    <xf numFmtId="0" fontId="13" fillId="15" borderId="39" xfId="0" applyNumberFormat="1" applyFont="1" applyFill="1" applyBorder="1" applyAlignment="1">
      <alignment vertical="center" wrapText="1"/>
    </xf>
    <xf numFmtId="0" fontId="13" fillId="13" borderId="39" xfId="0" applyNumberFormat="1" applyFont="1" applyFill="1" applyBorder="1" applyAlignment="1">
      <alignment vertical="center" wrapText="1"/>
    </xf>
    <xf numFmtId="0" fontId="13" fillId="19" borderId="39" xfId="0" applyNumberFormat="1" applyFont="1" applyFill="1" applyBorder="1" applyAlignment="1">
      <alignment vertical="center" wrapText="1"/>
    </xf>
    <xf numFmtId="0" fontId="13" fillId="17" borderId="39" xfId="0" applyNumberFormat="1" applyFont="1" applyFill="1" applyBorder="1" applyAlignment="1" applyProtection="1">
      <alignment vertical="center" wrapText="1"/>
      <protection locked="0"/>
    </xf>
    <xf numFmtId="0" fontId="13" fillId="17" borderId="39" xfId="0" applyNumberFormat="1" applyFont="1" applyFill="1" applyBorder="1" applyAlignment="1">
      <alignment horizontal="left" vertical="center"/>
    </xf>
    <xf numFmtId="0" fontId="13" fillId="17" borderId="39" xfId="0" applyNumberFormat="1" applyFont="1" applyFill="1" applyBorder="1" applyAlignment="1">
      <alignment vertical="top" wrapText="1"/>
    </xf>
    <xf numFmtId="0" fontId="13" fillId="20" borderId="39" xfId="0" applyNumberFormat="1" applyFont="1" applyFill="1" applyBorder="1" applyAlignment="1">
      <alignment vertical="top" wrapText="1"/>
    </xf>
    <xf numFmtId="0" fontId="13" fillId="18" borderId="39" xfId="0" applyNumberFormat="1" applyFont="1" applyFill="1" applyBorder="1" applyAlignment="1">
      <alignment vertical="top" wrapText="1"/>
    </xf>
    <xf numFmtId="0" fontId="13" fillId="21" borderId="39" xfId="0" applyNumberFormat="1" applyFont="1" applyFill="1" applyBorder="1" applyAlignment="1" applyProtection="1">
      <alignment vertical="center" wrapText="1"/>
      <protection locked="0"/>
    </xf>
    <xf numFmtId="0" fontId="13" fillId="24" borderId="39" xfId="0" applyNumberFormat="1" applyFont="1" applyFill="1" applyBorder="1" applyAlignment="1" applyProtection="1">
      <alignment vertical="center" wrapText="1"/>
      <protection locked="0"/>
    </xf>
    <xf numFmtId="0" fontId="13" fillId="22" borderId="39" xfId="0" applyNumberFormat="1" applyFont="1" applyFill="1" applyBorder="1" applyAlignment="1" applyProtection="1">
      <alignment vertical="center" wrapText="1"/>
      <protection locked="0"/>
    </xf>
    <xf numFmtId="0" fontId="13" fillId="23" borderId="39" xfId="0" applyNumberFormat="1" applyFont="1" applyFill="1" applyBorder="1" applyAlignment="1" applyProtection="1">
      <alignment horizontal="left" vertical="center" wrapText="1"/>
      <protection locked="0"/>
    </xf>
    <xf numFmtId="0" fontId="13" fillId="23" borderId="39" xfId="0" applyNumberFormat="1" applyFont="1" applyFill="1" applyBorder="1" applyAlignment="1" applyProtection="1">
      <alignment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2" fontId="2" fillId="4" borderId="33" xfId="0" applyNumberFormat="1" applyFont="1" applyFill="1" applyBorder="1" applyAlignment="1">
      <alignment horizontal="center" vertical="center" wrapText="1"/>
    </xf>
    <xf numFmtId="2" fontId="2" fillId="0" borderId="10" xfId="0" applyNumberFormat="1" applyFont="1" applyBorder="1" applyAlignment="1">
      <alignment horizontal="left" vertical="center" wrapText="1"/>
    </xf>
    <xf numFmtId="2" fontId="0" fillId="0" borderId="0" xfId="0" applyNumberFormat="1"/>
    <xf numFmtId="2" fontId="10" fillId="0" borderId="0" xfId="0" applyNumberFormat="1" applyFont="1"/>
    <xf numFmtId="0" fontId="2" fillId="5" borderId="1" xfId="0" applyNumberFormat="1" applyFont="1" applyFill="1" applyBorder="1" applyAlignment="1">
      <alignment horizontal="left" vertical="center" wrapText="1"/>
    </xf>
    <xf numFmtId="0" fontId="2" fillId="5" borderId="2" xfId="0" applyNumberFormat="1" applyFont="1" applyFill="1" applyBorder="1" applyAlignment="1">
      <alignment horizontal="left" vertical="center" wrapText="1"/>
    </xf>
    <xf numFmtId="10" fontId="2" fillId="0" borderId="34" xfId="2" applyNumberFormat="1" applyFont="1" applyBorder="1" applyAlignment="1">
      <alignment horizontal="left" vertical="center" wrapText="1"/>
    </xf>
    <xf numFmtId="4" fontId="2" fillId="11" borderId="10" xfId="0" applyNumberFormat="1" applyFont="1" applyFill="1" applyBorder="1" applyAlignment="1">
      <alignment horizontal="left" vertical="center" wrapText="1"/>
    </xf>
    <xf numFmtId="9" fontId="2" fillId="11" borderId="10" xfId="2" applyFont="1" applyFill="1" applyBorder="1" applyAlignment="1">
      <alignment horizontal="left" vertical="center" wrapText="1"/>
    </xf>
    <xf numFmtId="9" fontId="0" fillId="0" borderId="0" xfId="0" applyNumberFormat="1"/>
    <xf numFmtId="0" fontId="0" fillId="0" borderId="0" xfId="0" applyAlignment="1">
      <alignment wrapText="1"/>
    </xf>
    <xf numFmtId="0" fontId="0" fillId="11" borderId="0" xfId="0" applyFill="1" applyAlignment="1">
      <alignment wrapText="1"/>
    </xf>
    <xf numFmtId="0" fontId="15" fillId="14" borderId="39" xfId="0" applyFont="1" applyFill="1" applyBorder="1" applyAlignment="1">
      <alignment horizontal="center" vertical="center" wrapText="1"/>
    </xf>
    <xf numFmtId="0" fontId="16" fillId="0" borderId="0" xfId="0" applyFont="1" applyAlignment="1">
      <alignment horizontal="center"/>
    </xf>
    <xf numFmtId="0" fontId="12" fillId="10" borderId="39" xfId="0" applyFont="1" applyFill="1" applyBorder="1"/>
    <xf numFmtId="9" fontId="0" fillId="0" borderId="0" xfId="2" applyFont="1" applyAlignment="1">
      <alignment wrapText="1"/>
    </xf>
    <xf numFmtId="0" fontId="15" fillId="6" borderId="39" xfId="0" applyNumberFormat="1" applyFont="1" applyFill="1" applyBorder="1" applyAlignment="1">
      <alignment wrapText="1"/>
    </xf>
    <xf numFmtId="0" fontId="0" fillId="6" borderId="0" xfId="0" applyFill="1" applyAlignment="1">
      <alignment wrapText="1"/>
    </xf>
    <xf numFmtId="2" fontId="0" fillId="6" borderId="0" xfId="0" applyNumberFormat="1" applyFill="1" applyAlignment="1">
      <alignment wrapText="1"/>
    </xf>
    <xf numFmtId="49" fontId="0" fillId="6" borderId="0" xfId="0" applyNumberFormat="1" applyFill="1" applyAlignment="1">
      <alignment wrapText="1"/>
    </xf>
    <xf numFmtId="9" fontId="0" fillId="6" borderId="0" xfId="2" applyFont="1" applyFill="1" applyAlignment="1">
      <alignment wrapText="1"/>
    </xf>
    <xf numFmtId="0" fontId="8" fillId="11" borderId="39" xfId="1" applyFill="1" applyBorder="1" applyAlignment="1">
      <alignment horizontal="left"/>
    </xf>
    <xf numFmtId="0" fontId="12" fillId="5" borderId="39" xfId="0" applyFont="1" applyFill="1" applyBorder="1" applyAlignment="1">
      <alignment horizontal="left"/>
    </xf>
    <xf numFmtId="2" fontId="12" fillId="5" borderId="39" xfId="0" applyNumberFormat="1" applyFont="1" applyFill="1" applyBorder="1" applyAlignment="1">
      <alignment horizontal="left"/>
    </xf>
    <xf numFmtId="0" fontId="0" fillId="0" borderId="39" xfId="0" applyBorder="1" applyAlignment="1">
      <alignment horizontal="left"/>
    </xf>
    <xf numFmtId="49" fontId="0" fillId="0" borderId="39" xfId="0" applyNumberFormat="1" applyBorder="1" applyAlignment="1">
      <alignment horizontal="left"/>
    </xf>
    <xf numFmtId="164" fontId="0" fillId="0" borderId="39" xfId="0" applyNumberFormat="1" applyBorder="1" applyAlignment="1">
      <alignment horizontal="left"/>
    </xf>
    <xf numFmtId="0" fontId="15" fillId="11" borderId="39" xfId="0" applyFont="1" applyFill="1" applyBorder="1" applyAlignment="1">
      <alignment horizontal="left"/>
    </xf>
    <xf numFmtId="0" fontId="12" fillId="12" borderId="39" xfId="0" applyFont="1" applyFill="1" applyBorder="1" applyAlignment="1">
      <alignment horizontal="left"/>
    </xf>
    <xf numFmtId="0" fontId="12" fillId="17" borderId="39" xfId="0" applyFont="1" applyFill="1" applyBorder="1" applyAlignment="1">
      <alignment horizontal="left"/>
    </xf>
    <xf numFmtId="0" fontId="12" fillId="15" borderId="39" xfId="0" applyFont="1" applyFill="1" applyBorder="1" applyAlignment="1">
      <alignment horizontal="left"/>
    </xf>
    <xf numFmtId="0" fontId="12" fillId="13" borderId="39" xfId="0" applyFont="1" applyFill="1" applyBorder="1" applyAlignment="1">
      <alignment horizontal="left"/>
    </xf>
    <xf numFmtId="0" fontId="12" fillId="19" borderId="39" xfId="0" applyFont="1" applyFill="1" applyBorder="1" applyAlignment="1">
      <alignment horizontal="left"/>
    </xf>
    <xf numFmtId="0" fontId="12" fillId="20" borderId="39" xfId="0" applyFont="1" applyFill="1" applyBorder="1" applyAlignment="1">
      <alignment horizontal="left"/>
    </xf>
    <xf numFmtId="0" fontId="13" fillId="23" borderId="39" xfId="0" applyFont="1" applyFill="1" applyBorder="1" applyAlignment="1">
      <alignment horizontal="left" vertical="center"/>
    </xf>
    <xf numFmtId="0" fontId="0" fillId="0" borderId="0" xfId="0" applyNumberFormat="1" applyAlignment="1">
      <alignment horizontal="left"/>
    </xf>
    <xf numFmtId="0" fontId="12" fillId="5" borderId="0" xfId="0" applyFont="1" applyFill="1" applyAlignment="1">
      <alignment horizontal="left"/>
    </xf>
    <xf numFmtId="0" fontId="2" fillId="8" borderId="17" xfId="0" applyFont="1" applyFill="1" applyBorder="1" applyAlignment="1">
      <alignment horizontal="left" vertical="center" wrapText="1"/>
    </xf>
    <xf numFmtId="0" fontId="2" fillId="8" borderId="19" xfId="0" applyFont="1" applyFill="1" applyBorder="1" applyAlignment="1">
      <alignment horizontal="left" vertical="center" wrapText="1"/>
    </xf>
    <xf numFmtId="0" fontId="5" fillId="8" borderId="18" xfId="0" applyFont="1" applyFill="1" applyBorder="1" applyAlignment="1" applyProtection="1">
      <alignment horizontal="left" vertical="center" wrapText="1"/>
      <protection locked="0"/>
    </xf>
    <xf numFmtId="0" fontId="5" fillId="8" borderId="20"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3" xfId="0" applyFont="1" applyFill="1" applyBorder="1" applyAlignment="1" applyProtection="1">
      <alignment horizontal="left" vertical="center" wrapText="1"/>
      <protection locked="0"/>
    </xf>
    <xf numFmtId="0" fontId="2" fillId="8" borderId="7"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2" fillId="8" borderId="10"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2" fillId="8" borderId="36" xfId="0" applyFont="1" applyFill="1" applyBorder="1" applyAlignment="1">
      <alignment horizontal="left" vertical="center" wrapText="1"/>
    </xf>
    <xf numFmtId="0" fontId="2" fillId="8" borderId="0"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4" borderId="3"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8" borderId="11"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5" fillId="9" borderId="11" xfId="0" applyFont="1" applyFill="1" applyBorder="1" applyAlignment="1" applyProtection="1">
      <alignment horizontal="left" vertical="center" wrapText="1"/>
      <protection locked="0"/>
    </xf>
    <xf numFmtId="0" fontId="5" fillId="9" borderId="34" xfId="0" applyFont="1" applyFill="1" applyBorder="1" applyAlignment="1" applyProtection="1">
      <alignment horizontal="left" vertical="center" wrapText="1"/>
      <protection locked="0"/>
    </xf>
    <xf numFmtId="0" fontId="5" fillId="10" borderId="20" xfId="0" applyFont="1" applyFill="1" applyBorder="1" applyAlignment="1">
      <alignment horizontal="left" vertical="top" wrapText="1"/>
    </xf>
    <xf numFmtId="0" fontId="5" fillId="10" borderId="8" xfId="0" applyFont="1" applyFill="1" applyBorder="1" applyAlignment="1">
      <alignment horizontal="left" vertical="top" wrapText="1"/>
    </xf>
    <xf numFmtId="0" fontId="5" fillId="9" borderId="37" xfId="0" applyFont="1" applyFill="1" applyBorder="1" applyAlignment="1" applyProtection="1">
      <alignment horizontal="left" vertical="center" wrapText="1"/>
      <protection locked="0"/>
    </xf>
    <xf numFmtId="0" fontId="5" fillId="9" borderId="2" xfId="0" applyFont="1" applyFill="1" applyBorder="1" applyAlignment="1" applyProtection="1">
      <alignment horizontal="left" vertical="center" wrapText="1"/>
      <protection locked="0"/>
    </xf>
    <xf numFmtId="0" fontId="2" fillId="9" borderId="26"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17" xfId="0" applyFont="1" applyFill="1" applyBorder="1" applyAlignment="1">
      <alignment horizontal="left" vertical="center"/>
    </xf>
    <xf numFmtId="0" fontId="2" fillId="9" borderId="19" xfId="0" applyFont="1" applyFill="1" applyBorder="1" applyAlignment="1">
      <alignment horizontal="left" vertical="center"/>
    </xf>
    <xf numFmtId="0" fontId="5" fillId="9" borderId="13" xfId="0" applyFont="1" applyFill="1" applyBorder="1" applyAlignment="1" applyProtection="1">
      <alignment horizontal="left" vertical="center" wrapText="1"/>
      <protection locked="0"/>
    </xf>
    <xf numFmtId="0" fontId="5" fillId="9" borderId="31" xfId="0" applyFont="1" applyFill="1" applyBorder="1" applyAlignment="1" applyProtection="1">
      <alignment horizontal="left" vertical="center" wrapText="1"/>
      <protection locked="0"/>
    </xf>
    <xf numFmtId="0" fontId="2" fillId="4" borderId="3" xfId="0" applyFont="1" applyFill="1" applyBorder="1" applyAlignment="1">
      <alignment horizontal="right" vertical="center" wrapText="1"/>
    </xf>
    <xf numFmtId="0" fontId="2" fillId="4" borderId="1" xfId="0" applyFont="1" applyFill="1" applyBorder="1" applyAlignment="1">
      <alignment horizontal="right" vertical="center" wrapText="1"/>
    </xf>
    <xf numFmtId="0" fontId="5" fillId="9" borderId="4" xfId="0" applyFont="1" applyFill="1" applyBorder="1" applyAlignment="1">
      <alignment horizontal="center" vertical="center" wrapText="1"/>
    </xf>
    <xf numFmtId="0" fontId="5" fillId="9" borderId="26"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10" borderId="11" xfId="0" applyFont="1" applyFill="1" applyBorder="1" applyAlignment="1" applyProtection="1">
      <alignment horizontal="left" vertical="center" wrapText="1"/>
      <protection locked="0"/>
    </xf>
    <xf numFmtId="0" fontId="5" fillId="10" borderId="30" xfId="0" applyFont="1" applyFill="1" applyBorder="1" applyAlignment="1" applyProtection="1">
      <alignment horizontal="left" vertical="center" wrapText="1"/>
      <protection locked="0"/>
    </xf>
    <xf numFmtId="0" fontId="5" fillId="10" borderId="29" xfId="0" applyFont="1" applyFill="1" applyBorder="1" applyAlignment="1">
      <alignment horizontal="left" vertical="center" wrapText="1"/>
    </xf>
    <xf numFmtId="0" fontId="5" fillId="10" borderId="32" xfId="0" applyFont="1" applyFill="1" applyBorder="1" applyAlignment="1">
      <alignment horizontal="left" vertical="center" wrapText="1"/>
    </xf>
    <xf numFmtId="0" fontId="5" fillId="10" borderId="13" xfId="0" applyFont="1" applyFill="1" applyBorder="1" applyAlignment="1">
      <alignment horizontal="left" vertical="top" wrapText="1"/>
    </xf>
    <xf numFmtId="0" fontId="5" fillId="10" borderId="35" xfId="0" applyFont="1" applyFill="1" applyBorder="1" applyAlignment="1">
      <alignment horizontal="left" vertical="top" wrapText="1"/>
    </xf>
    <xf numFmtId="0" fontId="2" fillId="9" borderId="10" xfId="0" applyFont="1" applyFill="1" applyBorder="1" applyAlignment="1">
      <alignment horizontal="left" vertical="center"/>
    </xf>
    <xf numFmtId="0" fontId="2" fillId="9" borderId="12" xfId="0" applyFont="1" applyFill="1" applyBorder="1" applyAlignment="1">
      <alignment horizontal="left" vertical="center"/>
    </xf>
    <xf numFmtId="0" fontId="2" fillId="9" borderId="16" xfId="0" applyFont="1" applyFill="1" applyBorder="1" applyAlignment="1">
      <alignment horizontal="left" vertical="center"/>
    </xf>
    <xf numFmtId="0" fontId="2" fillId="9" borderId="26" xfId="0" applyFont="1" applyFill="1" applyBorder="1" applyAlignment="1">
      <alignment horizontal="left" vertical="center"/>
    </xf>
    <xf numFmtId="0" fontId="16" fillId="26" borderId="39" xfId="0" applyFont="1" applyFill="1" applyBorder="1" applyAlignment="1">
      <alignment horizontal="center" vertical="center" wrapText="1"/>
    </xf>
    <xf numFmtId="9" fontId="16" fillId="13" borderId="39" xfId="2" applyFont="1" applyFill="1" applyBorder="1" applyAlignment="1">
      <alignment horizontal="center" vertical="center" wrapText="1"/>
    </xf>
    <xf numFmtId="0" fontId="17" fillId="12" borderId="39" xfId="0" applyFont="1" applyFill="1" applyBorder="1" applyAlignment="1">
      <alignment horizontal="center" vertical="center" wrapText="1"/>
    </xf>
    <xf numFmtId="0" fontId="17" fillId="17" borderId="39" xfId="0" applyFont="1" applyFill="1" applyBorder="1" applyAlignment="1">
      <alignment horizontal="center" vertical="center" wrapText="1"/>
    </xf>
    <xf numFmtId="0" fontId="17" fillId="15" borderId="39" xfId="0" applyFont="1" applyFill="1" applyBorder="1" applyAlignment="1">
      <alignment horizontal="center" vertical="center" wrapText="1"/>
    </xf>
    <xf numFmtId="0" fontId="17" fillId="13" borderId="39" xfId="0" applyFont="1" applyFill="1" applyBorder="1" applyAlignment="1">
      <alignment horizontal="center" vertical="center" wrapText="1"/>
    </xf>
    <xf numFmtId="0" fontId="17" fillId="19" borderId="39" xfId="0" applyFont="1" applyFill="1" applyBorder="1" applyAlignment="1">
      <alignment horizontal="center" vertical="center" wrapText="1"/>
    </xf>
    <xf numFmtId="0" fontId="17" fillId="17" borderId="39" xfId="0" applyFont="1" applyFill="1" applyBorder="1" applyAlignment="1" applyProtection="1">
      <alignment horizontal="center" vertical="center" wrapText="1"/>
      <protection locked="0"/>
    </xf>
    <xf numFmtId="0" fontId="17" fillId="20" borderId="39" xfId="0" applyFont="1" applyFill="1" applyBorder="1" applyAlignment="1">
      <alignment horizontal="center" vertical="center" wrapText="1"/>
    </xf>
    <xf numFmtId="0" fontId="17" fillId="18" borderId="39" xfId="0" applyFont="1" applyFill="1" applyBorder="1" applyAlignment="1">
      <alignment horizontal="center" vertical="center" wrapText="1"/>
    </xf>
    <xf numFmtId="0" fontId="17" fillId="21" borderId="39" xfId="0" applyFont="1" applyFill="1" applyBorder="1" applyAlignment="1" applyProtection="1">
      <alignment horizontal="center" vertical="center" wrapText="1"/>
      <protection locked="0"/>
    </xf>
    <xf numFmtId="0" fontId="17" fillId="24" borderId="39" xfId="0" applyFont="1" applyFill="1" applyBorder="1" applyAlignment="1" applyProtection="1">
      <alignment horizontal="center" vertical="center" wrapText="1"/>
      <protection locked="0"/>
    </xf>
    <xf numFmtId="0" fontId="17" fillId="22" borderId="39" xfId="0" applyFont="1" applyFill="1" applyBorder="1" applyAlignment="1" applyProtection="1">
      <alignment horizontal="center" vertical="center" wrapText="1"/>
      <protection locked="0"/>
    </xf>
    <xf numFmtId="0" fontId="17" fillId="23" borderId="39" xfId="0" applyFont="1" applyFill="1" applyBorder="1" applyAlignment="1" applyProtection="1">
      <alignment horizontal="center" vertical="center" wrapText="1"/>
      <protection locked="0"/>
    </xf>
    <xf numFmtId="0" fontId="16" fillId="11" borderId="39" xfId="0" applyFont="1" applyFill="1" applyBorder="1" applyAlignment="1">
      <alignment horizontal="center" vertical="center" wrapText="1"/>
    </xf>
    <xf numFmtId="0" fontId="16" fillId="0" borderId="0" xfId="0" applyFont="1"/>
  </cellXfs>
  <cellStyles count="3">
    <cellStyle name="Hipervínculo" xfId="1" builtinId="8"/>
    <cellStyle name="Normal" xfId="0" builtinId="0"/>
    <cellStyle name="Porcentaje" xfId="2" builtinId="5"/>
  </cellStyles>
  <dxfs count="16">
    <dxf>
      <alignment horizontal="left" readingOrder="0"/>
    </dxf>
    <dxf>
      <alignment horizontal="left" readingOrder="0"/>
    </dxf>
    <dxf>
      <numFmt numFmtId="13" formatCode="0%"/>
    </dxf>
    <dxf>
      <numFmt numFmtId="13" formatCode="0%"/>
    </dxf>
    <dxf>
      <alignment horizontal="left" readingOrder="0"/>
    </dxf>
    <dxf>
      <alignment horizontal="left" readingOrder="0"/>
    </dxf>
    <dxf>
      <numFmt numFmtId="13" formatCode="0%"/>
    </dxf>
    <dxf>
      <numFmt numFmtId="13" formatCode="0%"/>
    </dxf>
    <dxf>
      <alignment horizontal="left" readingOrder="0"/>
    </dxf>
    <dxf>
      <alignment horizontal="left" readingOrder="0"/>
    </dxf>
    <dxf>
      <numFmt numFmtId="13" formatCode="0%"/>
    </dxf>
    <dxf>
      <numFmt numFmtId="13" formatCode="0%"/>
    </dxf>
    <dxf>
      <alignment horizontal="left" readingOrder="0"/>
    </dxf>
    <dxf>
      <alignment horizontal="left" readingOrder="0"/>
    </dxf>
    <dxf>
      <numFmt numFmtId="13" formatCode="0%"/>
    </dxf>
    <dxf>
      <numFmt numFmtId="13" formatCode="0%"/>
    </dxf>
  </dxfs>
  <tableStyles count="0" defaultTableStyle="TableStyleMedium2" defaultPivotStyle="PivotStyleLight16"/>
  <colors>
    <mruColors>
      <color rgb="FFDDDDDD"/>
      <color rgb="FFFCD0F4"/>
      <color rgb="FFCCCCFF"/>
      <color rgb="FF9999FF"/>
      <color rgb="FFEAB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[20230523 ficha con propios e impropios.xlsx]FICHA DE CARACTERIZACION A 3.1!TablaDinámica2</c:name>
    <c:fmtId val="0"/>
  </c:pivotSource>
  <c:chart>
    <c:title>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ES"/>
        </a:p>
      </c:txPr>
    </c:title>
    <c:autoTitleDeleted val="0"/>
    <c:pivotFmts>
      <c:pivotFmt>
        <c:idx val="0"/>
      </c:pivotFmt>
      <c:pivotFmt>
        <c:idx val="1"/>
      </c:pivotFmt>
      <c:pivotFmt>
        <c:idx val="2"/>
        <c:dLbl>
          <c:idx val="0"/>
          <c:dLblPos val="inEnd"/>
          <c:showLegendKey val="0"/>
          <c:showVal val="0"/>
          <c:showCatName val="0"/>
          <c:showSerName val="0"/>
          <c:showPercent val="1"/>
          <c:showBubbleSize val="0"/>
          <c:extLst>
            <c:ext xmlns:c15="http://schemas.microsoft.com/office/drawing/2012/chart" uri="{CE6537A1-D6FC-4f65-9D91-7224C49458BB}"/>
          </c:extLst>
        </c:dLbl>
      </c:pivotFmt>
      <c:pivotFmt>
        <c:idx val="3"/>
        <c:dLbl>
          <c:idx val="0"/>
          <c:dLblPos val="inEnd"/>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a:noFill/>
          </a:ln>
          <a:effectLst>
            <a:outerShdw blurRad="317500" algn="ctr" rotWithShape="0">
              <a:prstClr val="black">
                <a:alpha val="25000"/>
              </a:prst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extLst>
            <c:ext xmlns:c15="http://schemas.microsoft.com/office/drawing/2012/chart" uri="{CE6537A1-D6FC-4f65-9D91-7224C49458BB}">
              <c15:layout/>
            </c:ext>
          </c:extLst>
        </c:dLbl>
      </c:pivotFmt>
      <c:pivotFmt>
        <c:idx val="5"/>
        <c:spPr>
          <a:solidFill>
            <a:schemeClr val="accent1"/>
          </a:solidFill>
          <a:ln>
            <a:noFill/>
          </a:ln>
          <a:effectLst>
            <a:outerShdw blurRad="317500" algn="ctr"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a:noFill/>
          </a:ln>
          <a:effectLst>
            <a:outerShdw blurRad="317500" algn="ctr" rotWithShape="0">
              <a:prstClr val="black">
                <a:alpha val="25000"/>
              </a:prstClr>
            </a:outerShdw>
          </a:effectLst>
        </c:spPr>
      </c:pivotFmt>
      <c:pivotFmt>
        <c:idx val="7"/>
        <c:spPr>
          <a:solidFill>
            <a:schemeClr val="accent1"/>
          </a:solidFill>
          <a:ln>
            <a:noFill/>
          </a:ln>
          <a:effectLst>
            <a:outerShdw blurRad="317500" algn="ctr" rotWithShape="0">
              <a:prstClr val="black">
                <a:alpha val="25000"/>
              </a:prstClr>
            </a:outerShdw>
          </a:effectLst>
        </c:spPr>
      </c:pivotFmt>
      <c:pivotFmt>
        <c:idx val="8"/>
        <c:spPr>
          <a:solidFill>
            <a:schemeClr val="accent1"/>
          </a:solidFill>
          <a:ln>
            <a:noFill/>
          </a:ln>
          <a:effectLst>
            <a:outerShdw blurRad="317500" algn="ctr" rotWithShape="0">
              <a:prstClr val="black">
                <a:alpha val="25000"/>
              </a:prstClr>
            </a:outerShdw>
          </a:effectLst>
        </c:spPr>
      </c:pivotFmt>
      <c:pivotFmt>
        <c:idx val="9"/>
        <c:spPr>
          <a:solidFill>
            <a:schemeClr val="accent1"/>
          </a:solidFill>
          <a:ln>
            <a:noFill/>
          </a:ln>
          <a:effectLst>
            <a:outerShdw blurRad="317500" algn="ctr" rotWithShape="0">
              <a:prstClr val="black">
                <a:alpha val="25000"/>
              </a:prstClr>
            </a:outerShdw>
          </a:effectLst>
        </c:spPr>
      </c:pivotFmt>
    </c:pivotFmts>
    <c:plotArea>
      <c:layout/>
      <c:pieChart>
        <c:varyColors val="1"/>
        <c:ser>
          <c:idx val="0"/>
          <c:order val="0"/>
          <c:tx>
            <c:strRef>
              <c:f>'FICHA DE CARACTERIZACION A 3.1'!$B$201</c:f>
              <c:strCache>
                <c:ptCount val="1"/>
                <c:pt idx="0">
                  <c:v>Suma de TOTAL</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A00E-4DD1-9948-246A914C8D92}"/>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A00E-4DD1-9948-246A914C8D9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layout/>
              </c:ext>
            </c:extLst>
          </c:dLbls>
          <c:cat>
            <c:strRef>
              <c:f>'FICHA DE CARACTERIZACION A 3.1'!$A$202:$A$204</c:f>
              <c:strCache>
                <c:ptCount val="2"/>
                <c:pt idx="0">
                  <c:v>Impropio</c:v>
                </c:pt>
                <c:pt idx="1">
                  <c:v>Solicitado</c:v>
                </c:pt>
              </c:strCache>
            </c:strRef>
          </c:cat>
          <c:val>
            <c:numRef>
              <c:f>'FICHA DE CARACTERIZACION A 3.1'!$B$202:$B$204</c:f>
              <c:numCache>
                <c:formatCode>General</c:formatCode>
                <c:ptCount val="2"/>
                <c:pt idx="0">
                  <c:v>9787.5999999999985</c:v>
                </c:pt>
                <c:pt idx="1">
                  <c:v>5579.399999999996</c:v>
                </c:pt>
              </c:numCache>
            </c:numRef>
          </c:val>
          <c:extLst>
            <c:ext xmlns:c16="http://schemas.microsoft.com/office/drawing/2014/chart" uri="{C3380CC4-5D6E-409C-BE32-E72D297353CC}">
              <c16:uniqueId val="{00000000-22AC-48AA-B7E9-8A7FC67C12B0}"/>
            </c:ext>
          </c:extLst>
        </c:ser>
        <c:ser>
          <c:idx val="1"/>
          <c:order val="1"/>
          <c:tx>
            <c:strRef>
              <c:f>'FICHA DE CARACTERIZACION A 3.1'!$C$201</c:f>
              <c:strCache>
                <c:ptCount val="1"/>
                <c:pt idx="0">
                  <c:v>Suma de %</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A00E-4DD1-9948-246A914C8D92}"/>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A00E-4DD1-9948-246A914C8D9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'FICHA DE CARACTERIZACION A 3.1'!$A$202:$A$204</c:f>
              <c:strCache>
                <c:ptCount val="2"/>
                <c:pt idx="0">
                  <c:v>Impropio</c:v>
                </c:pt>
                <c:pt idx="1">
                  <c:v>Solicitado</c:v>
                </c:pt>
              </c:strCache>
            </c:strRef>
          </c:cat>
          <c:val>
            <c:numRef>
              <c:f>'FICHA DE CARACTERIZACION A 3.1'!$C$202:$C$204</c:f>
              <c:numCache>
                <c:formatCode>0%</c:formatCode>
                <c:ptCount val="2"/>
                <c:pt idx="0">
                  <c:v>0.63692327715233854</c:v>
                </c:pt>
                <c:pt idx="1">
                  <c:v>0.36307672284766013</c:v>
                </c:pt>
              </c:numCache>
            </c:numRef>
          </c:val>
          <c:extLst>
            <c:ext xmlns:c16="http://schemas.microsoft.com/office/drawing/2014/chart" uri="{C3380CC4-5D6E-409C-BE32-E72D297353CC}">
              <c16:uniqueId val="{00000001-22AC-48AA-B7E9-8A7FC67C12B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[20230523 ficha con propios e impropios.xlsx]FICHA DE CARACTERIZACION A 3.1!TablaDinámica3</c:name>
    <c:fmtId val="1"/>
  </c:pivotSource>
  <c:chart>
    <c:title>
      <c:layout>
        <c:manualLayout>
          <c:xMode val="edge"/>
          <c:yMode val="edge"/>
          <c:x val="0.28289315796579073"/>
          <c:y val="4.0246881269170455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ES"/>
        </a:p>
      </c:txPr>
    </c:title>
    <c:autoTitleDeleted val="0"/>
    <c:pivotFmts>
      <c:pivotFmt>
        <c:idx val="0"/>
      </c:pivotFmt>
      <c:pivotFmt>
        <c:idx val="1"/>
      </c:pivotFmt>
      <c:pivotFmt>
        <c:idx val="2"/>
      </c:pivotFmt>
      <c:pivotFmt>
        <c:idx val="3"/>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dLblPos val="inEnd"/>
          <c:showLegendKey val="0"/>
          <c:showVal val="0"/>
          <c:showCatName val="0"/>
          <c:showSerName val="0"/>
          <c:showPercent val="1"/>
          <c:showBubbleSize val="0"/>
          <c:extLst>
            <c:ext xmlns:c15="http://schemas.microsoft.com/office/drawing/2012/chart" uri="{CE6537A1-D6FC-4f65-9D91-7224C49458BB}"/>
          </c:extLst>
        </c:dLbl>
      </c:pivotFmt>
      <c:pivotFmt>
        <c:idx val="7"/>
        <c:dLbl>
          <c:idx val="0"/>
          <c:dLblPos val="inEnd"/>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1"/>
          </a:solidFill>
          <a:ln>
            <a:noFill/>
          </a:ln>
          <a:effectLst>
            <a:outerShdw blurRad="317500" algn="ctr" rotWithShape="0">
              <a:prstClr val="black">
                <a:alpha val="25000"/>
              </a:prst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extLst>
            <c:ext xmlns:c15="http://schemas.microsoft.com/office/drawing/2012/chart" uri="{CE6537A1-D6FC-4f65-9D91-7224C49458BB}">
              <c15:layout/>
            </c:ext>
          </c:extLst>
        </c:dLbl>
      </c:pivotFmt>
      <c:pivotFmt>
        <c:idx val="9"/>
        <c:spPr>
          <a:solidFill>
            <a:schemeClr val="accent1"/>
          </a:solidFill>
          <a:ln>
            <a:noFill/>
          </a:ln>
          <a:effectLst>
            <a:outerShdw blurRad="317500" algn="ctr"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a:noFill/>
          </a:ln>
          <a:effectLst>
            <a:outerShdw blurRad="317500" algn="ctr" rotWithShape="0">
              <a:prstClr val="black">
                <a:alpha val="25000"/>
              </a:prstClr>
            </a:outerShdw>
          </a:effectLst>
        </c:spPr>
      </c:pivotFmt>
      <c:pivotFmt>
        <c:idx val="11"/>
        <c:spPr>
          <a:solidFill>
            <a:schemeClr val="accent1"/>
          </a:solidFill>
          <a:ln>
            <a:noFill/>
          </a:ln>
          <a:effectLst>
            <a:outerShdw blurRad="317500" algn="ctr" rotWithShape="0">
              <a:prstClr val="black">
                <a:alpha val="25000"/>
              </a:prstClr>
            </a:outerShdw>
          </a:effectLst>
        </c:spPr>
      </c:pivotFmt>
      <c:pivotFmt>
        <c:idx val="12"/>
        <c:spPr>
          <a:solidFill>
            <a:schemeClr val="accent1"/>
          </a:solidFill>
          <a:ln>
            <a:noFill/>
          </a:ln>
          <a:effectLst>
            <a:outerShdw blurRad="317500" algn="ctr" rotWithShape="0">
              <a:prstClr val="black">
                <a:alpha val="25000"/>
              </a:prstClr>
            </a:outerShdw>
          </a:effectLst>
        </c:spPr>
      </c:pivotFmt>
      <c:pivotFmt>
        <c:idx val="13"/>
        <c:spPr>
          <a:solidFill>
            <a:schemeClr val="accent1"/>
          </a:solidFill>
          <a:ln>
            <a:noFill/>
          </a:ln>
          <a:effectLst>
            <a:outerShdw blurRad="317500" algn="ctr" rotWithShape="0">
              <a:prstClr val="black">
                <a:alpha val="25000"/>
              </a:prstClr>
            </a:outerShdw>
          </a:effectLst>
        </c:spPr>
      </c:pivotFmt>
      <c:pivotFmt>
        <c:idx val="14"/>
        <c:spPr>
          <a:solidFill>
            <a:schemeClr val="accent1"/>
          </a:solidFill>
          <a:ln>
            <a:noFill/>
          </a:ln>
          <a:effectLst>
            <a:outerShdw blurRad="317500" algn="ctr" rotWithShape="0">
              <a:prstClr val="black">
                <a:alpha val="25000"/>
              </a:prstClr>
            </a:outerShdw>
          </a:effectLst>
        </c:spPr>
      </c:pivotFmt>
      <c:pivotFmt>
        <c:idx val="15"/>
        <c:spPr>
          <a:solidFill>
            <a:schemeClr val="accent1"/>
          </a:solidFill>
          <a:ln>
            <a:noFill/>
          </a:ln>
          <a:effectLst>
            <a:outerShdw blurRad="317500" algn="ctr" rotWithShape="0">
              <a:prstClr val="black">
                <a:alpha val="25000"/>
              </a:prstClr>
            </a:outerShdw>
          </a:effectLst>
        </c:spPr>
      </c:pivotFmt>
      <c:pivotFmt>
        <c:idx val="16"/>
        <c:spPr>
          <a:solidFill>
            <a:schemeClr val="accent1"/>
          </a:solidFill>
          <a:ln>
            <a:noFill/>
          </a:ln>
          <a:effectLst>
            <a:outerShdw blurRad="317500" algn="ctr" rotWithShape="0">
              <a:prstClr val="black">
                <a:alpha val="25000"/>
              </a:prstClr>
            </a:outerShdw>
          </a:effectLst>
        </c:spPr>
      </c:pivotFmt>
      <c:pivotFmt>
        <c:idx val="17"/>
        <c:spPr>
          <a:solidFill>
            <a:schemeClr val="accent1"/>
          </a:solidFill>
          <a:ln>
            <a:noFill/>
          </a:ln>
          <a:effectLst>
            <a:outerShdw blurRad="317500" algn="ctr" rotWithShape="0">
              <a:prstClr val="black">
                <a:alpha val="25000"/>
              </a:prstClr>
            </a:outerShdw>
          </a:effectLst>
        </c:spPr>
      </c:pivotFmt>
      <c:pivotFmt>
        <c:idx val="18"/>
        <c:spPr>
          <a:solidFill>
            <a:schemeClr val="accent1"/>
          </a:solidFill>
          <a:ln>
            <a:noFill/>
          </a:ln>
          <a:effectLst>
            <a:outerShdw blurRad="317500" algn="ctr" rotWithShape="0">
              <a:prstClr val="black">
                <a:alpha val="25000"/>
              </a:prstClr>
            </a:outerShdw>
          </a:effectLst>
        </c:spPr>
      </c:pivotFmt>
      <c:pivotFmt>
        <c:idx val="19"/>
        <c:spPr>
          <a:solidFill>
            <a:schemeClr val="accent1"/>
          </a:solidFill>
          <a:ln>
            <a:noFill/>
          </a:ln>
          <a:effectLst>
            <a:outerShdw blurRad="317500" algn="ctr" rotWithShape="0">
              <a:prstClr val="black">
                <a:alpha val="25000"/>
              </a:prstClr>
            </a:outerShdw>
          </a:effectLst>
        </c:spPr>
      </c:pivotFmt>
      <c:pivotFmt>
        <c:idx val="20"/>
        <c:spPr>
          <a:solidFill>
            <a:schemeClr val="accent1"/>
          </a:solidFill>
          <a:ln>
            <a:noFill/>
          </a:ln>
          <a:effectLst>
            <a:outerShdw blurRad="317500" algn="ctr" rotWithShape="0">
              <a:prstClr val="black">
                <a:alpha val="25000"/>
              </a:prstClr>
            </a:outerShdw>
          </a:effectLst>
        </c:spPr>
      </c:pivotFmt>
      <c:pivotFmt>
        <c:idx val="21"/>
        <c:spPr>
          <a:solidFill>
            <a:schemeClr val="accent1"/>
          </a:solidFill>
          <a:ln>
            <a:noFill/>
          </a:ln>
          <a:effectLst>
            <a:outerShdw blurRad="317500" algn="ctr" rotWithShape="0">
              <a:prstClr val="black">
                <a:alpha val="25000"/>
              </a:prstClr>
            </a:outerShdw>
          </a:effectLst>
        </c:spPr>
      </c:pivotFmt>
      <c:pivotFmt>
        <c:idx val="22"/>
        <c:spPr>
          <a:solidFill>
            <a:schemeClr val="accent1"/>
          </a:solidFill>
          <a:ln>
            <a:noFill/>
          </a:ln>
          <a:effectLst>
            <a:outerShdw blurRad="317500" algn="ctr" rotWithShape="0">
              <a:prstClr val="black">
                <a:alpha val="25000"/>
              </a:prstClr>
            </a:outerShdw>
          </a:effectLst>
        </c:spPr>
      </c:pivotFmt>
      <c:pivotFmt>
        <c:idx val="23"/>
        <c:spPr>
          <a:solidFill>
            <a:schemeClr val="accent1"/>
          </a:solidFill>
          <a:ln>
            <a:noFill/>
          </a:ln>
          <a:effectLst>
            <a:outerShdw blurRad="317500" algn="ctr" rotWithShape="0">
              <a:prstClr val="black">
                <a:alpha val="25000"/>
              </a:prstClr>
            </a:outerShdw>
          </a:effectLst>
        </c:spPr>
      </c:pivotFmt>
      <c:pivotFmt>
        <c:idx val="24"/>
        <c:spPr>
          <a:solidFill>
            <a:schemeClr val="accent1"/>
          </a:solidFill>
          <a:ln>
            <a:noFill/>
          </a:ln>
          <a:effectLst>
            <a:outerShdw blurRad="317500" algn="ctr" rotWithShape="0">
              <a:prstClr val="black">
                <a:alpha val="25000"/>
              </a:prstClr>
            </a:outerShdw>
          </a:effectLst>
        </c:spPr>
      </c:pivotFmt>
      <c:pivotFmt>
        <c:idx val="25"/>
        <c:spPr>
          <a:solidFill>
            <a:schemeClr val="accent1"/>
          </a:solidFill>
          <a:ln>
            <a:noFill/>
          </a:ln>
          <a:effectLst>
            <a:outerShdw blurRad="317500" algn="ctr" rotWithShape="0">
              <a:prstClr val="black">
                <a:alpha val="25000"/>
              </a:prstClr>
            </a:outerShdw>
          </a:effectLst>
        </c:spPr>
      </c:pivotFmt>
      <c:pivotFmt>
        <c:idx val="26"/>
        <c:spPr>
          <a:solidFill>
            <a:schemeClr val="accent1"/>
          </a:solidFill>
          <a:ln>
            <a:noFill/>
          </a:ln>
          <a:effectLst>
            <a:outerShdw blurRad="317500" algn="ctr" rotWithShape="0">
              <a:prstClr val="black">
                <a:alpha val="25000"/>
              </a:prstClr>
            </a:outerShdw>
          </a:effectLst>
        </c:spPr>
      </c:pivotFmt>
      <c:pivotFmt>
        <c:idx val="27"/>
        <c:spPr>
          <a:solidFill>
            <a:schemeClr val="accent1"/>
          </a:solidFill>
          <a:ln>
            <a:noFill/>
          </a:ln>
          <a:effectLst>
            <a:outerShdw blurRad="317500" algn="ctr" rotWithShape="0">
              <a:prstClr val="black">
                <a:alpha val="25000"/>
              </a:prstClr>
            </a:outerShdw>
          </a:effectLst>
        </c:spPr>
      </c:pivotFmt>
      <c:pivotFmt>
        <c:idx val="28"/>
        <c:spPr>
          <a:solidFill>
            <a:schemeClr val="accent1"/>
          </a:solidFill>
          <a:ln>
            <a:noFill/>
          </a:ln>
          <a:effectLst>
            <a:outerShdw blurRad="317500" algn="ctr" rotWithShape="0">
              <a:prstClr val="black">
                <a:alpha val="25000"/>
              </a:prstClr>
            </a:outerShdw>
          </a:effectLst>
        </c:spPr>
      </c:pivotFmt>
      <c:pivotFmt>
        <c:idx val="29"/>
        <c:spPr>
          <a:solidFill>
            <a:schemeClr val="accent1"/>
          </a:solidFill>
          <a:ln>
            <a:noFill/>
          </a:ln>
          <a:effectLst>
            <a:outerShdw blurRad="317500" algn="ctr" rotWithShape="0">
              <a:prstClr val="black">
                <a:alpha val="25000"/>
              </a:prstClr>
            </a:outerShdw>
          </a:effectLst>
        </c:spPr>
      </c:pivotFmt>
      <c:pivotFmt>
        <c:idx val="30"/>
        <c:spPr>
          <a:solidFill>
            <a:schemeClr val="accent1"/>
          </a:solidFill>
          <a:ln>
            <a:noFill/>
          </a:ln>
          <a:effectLst>
            <a:outerShdw blurRad="317500" algn="ctr" rotWithShape="0">
              <a:prstClr val="black">
                <a:alpha val="25000"/>
              </a:prstClr>
            </a:outerShdw>
          </a:effectLst>
        </c:spPr>
      </c:pivotFmt>
      <c:pivotFmt>
        <c:idx val="31"/>
        <c:spPr>
          <a:solidFill>
            <a:schemeClr val="accent1"/>
          </a:solidFill>
          <a:ln>
            <a:noFill/>
          </a:ln>
          <a:effectLst>
            <a:outerShdw blurRad="317500" algn="ctr" rotWithShape="0">
              <a:prstClr val="black">
                <a:alpha val="25000"/>
              </a:prstClr>
            </a:outerShdw>
          </a:effectLst>
        </c:spPr>
      </c:pivotFmt>
      <c:pivotFmt>
        <c:idx val="32"/>
        <c:spPr>
          <a:solidFill>
            <a:schemeClr val="accent1"/>
          </a:solidFill>
          <a:ln>
            <a:noFill/>
          </a:ln>
          <a:effectLst>
            <a:outerShdw blurRad="317500" algn="ctr" rotWithShape="0">
              <a:prstClr val="black">
                <a:alpha val="25000"/>
              </a:prstClr>
            </a:outerShdw>
          </a:effectLst>
        </c:spPr>
      </c:pivotFmt>
      <c:pivotFmt>
        <c:idx val="33"/>
        <c:spPr>
          <a:solidFill>
            <a:schemeClr val="accent1"/>
          </a:solidFill>
          <a:ln>
            <a:noFill/>
          </a:ln>
          <a:effectLst>
            <a:outerShdw blurRad="317500" algn="ctr" rotWithShape="0">
              <a:prstClr val="black">
                <a:alpha val="25000"/>
              </a:prstClr>
            </a:outerShdw>
          </a:effectLst>
        </c:spPr>
      </c:pivotFmt>
      <c:pivotFmt>
        <c:idx val="34"/>
        <c:spPr>
          <a:solidFill>
            <a:schemeClr val="accent1"/>
          </a:solidFill>
          <a:ln>
            <a:noFill/>
          </a:ln>
          <a:effectLst>
            <a:outerShdw blurRad="317500" algn="ctr" rotWithShape="0">
              <a:prstClr val="black">
                <a:alpha val="25000"/>
              </a:prstClr>
            </a:outerShdw>
          </a:effectLst>
        </c:spPr>
      </c:pivotFmt>
      <c:pivotFmt>
        <c:idx val="35"/>
        <c:spPr>
          <a:solidFill>
            <a:schemeClr val="accent1"/>
          </a:solidFill>
          <a:ln>
            <a:noFill/>
          </a:ln>
          <a:effectLst>
            <a:outerShdw blurRad="317500" algn="ctr" rotWithShape="0">
              <a:prstClr val="black">
                <a:alpha val="25000"/>
              </a:prstClr>
            </a:outerShdw>
          </a:effectLst>
        </c:spPr>
      </c:pivotFmt>
      <c:pivotFmt>
        <c:idx val="36"/>
        <c:spPr>
          <a:solidFill>
            <a:schemeClr val="accent1"/>
          </a:solidFill>
          <a:ln>
            <a:noFill/>
          </a:ln>
          <a:effectLst>
            <a:outerShdw blurRad="317500" algn="ctr" rotWithShape="0">
              <a:prstClr val="black">
                <a:alpha val="25000"/>
              </a:prstClr>
            </a:outerShdw>
          </a:effectLst>
        </c:spPr>
      </c:pivotFmt>
      <c:pivotFmt>
        <c:idx val="37"/>
        <c:spPr>
          <a:solidFill>
            <a:schemeClr val="accent1"/>
          </a:solidFill>
          <a:ln>
            <a:noFill/>
          </a:ln>
          <a:effectLst>
            <a:outerShdw blurRad="317500" algn="ctr" rotWithShape="0">
              <a:prstClr val="black">
                <a:alpha val="25000"/>
              </a:prstClr>
            </a:outerShdw>
          </a:effectLst>
        </c:spPr>
      </c:pivotFmt>
      <c:pivotFmt>
        <c:idx val="38"/>
        <c:spPr>
          <a:solidFill>
            <a:schemeClr val="accent1"/>
          </a:solidFill>
          <a:ln>
            <a:noFill/>
          </a:ln>
          <a:effectLst>
            <a:outerShdw blurRad="317500" algn="ctr" rotWithShape="0">
              <a:prstClr val="black">
                <a:alpha val="25000"/>
              </a:prstClr>
            </a:outerShdw>
          </a:effectLst>
        </c:spPr>
      </c:pivotFmt>
      <c:pivotFmt>
        <c:idx val="39"/>
        <c:spPr>
          <a:solidFill>
            <a:schemeClr val="accent1"/>
          </a:solidFill>
          <a:ln>
            <a:noFill/>
          </a:ln>
          <a:effectLst>
            <a:outerShdw blurRad="317500" algn="ctr" rotWithShape="0">
              <a:prstClr val="black">
                <a:alpha val="25000"/>
              </a:prstClr>
            </a:outerShdw>
          </a:effectLst>
        </c:spPr>
      </c:pivotFmt>
      <c:pivotFmt>
        <c:idx val="40"/>
        <c:spPr>
          <a:solidFill>
            <a:schemeClr val="accent1"/>
          </a:solidFill>
          <a:ln>
            <a:noFill/>
          </a:ln>
          <a:effectLst>
            <a:outerShdw blurRad="317500" algn="ctr" rotWithShape="0">
              <a:prstClr val="black">
                <a:alpha val="25000"/>
              </a:prstClr>
            </a:outerShdw>
          </a:effectLst>
        </c:spPr>
      </c:pivotFmt>
      <c:pivotFmt>
        <c:idx val="41"/>
        <c:spPr>
          <a:solidFill>
            <a:schemeClr val="accent1"/>
          </a:solidFill>
          <a:ln>
            <a:noFill/>
          </a:ln>
          <a:effectLst>
            <a:outerShdw blurRad="317500" algn="ctr" rotWithShape="0">
              <a:prstClr val="black">
                <a:alpha val="25000"/>
              </a:prstClr>
            </a:outerShdw>
          </a:effectLst>
        </c:spPr>
      </c:pivotFmt>
    </c:pivotFmts>
    <c:plotArea>
      <c:layout/>
      <c:pieChart>
        <c:varyColors val="1"/>
        <c:ser>
          <c:idx val="0"/>
          <c:order val="0"/>
          <c:tx>
            <c:strRef>
              <c:f>'FICHA DE CARACTERIZACION A 3.1'!$B$218</c:f>
              <c:strCache>
                <c:ptCount val="1"/>
                <c:pt idx="0">
                  <c:v>Suma de TOTAL</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5D48-41EC-A861-E67B67E4AB9D}"/>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5D48-41EC-A861-E67B67E4AB9D}"/>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5D48-41EC-A861-E67B67E4AB9D}"/>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5D48-41EC-A861-E67B67E4AB9D}"/>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5D48-41EC-A861-E67B67E4AB9D}"/>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5D48-41EC-A861-E67B67E4AB9D}"/>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5D48-41EC-A861-E67B67E4AB9D}"/>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5D48-41EC-A861-E67B67E4AB9D}"/>
              </c:ext>
            </c:extLst>
          </c:dPt>
          <c:dPt>
            <c:idx val="8"/>
            <c:bubble3D val="0"/>
            <c:spPr>
              <a:solidFill>
                <a:schemeClr val="accent3">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5D48-41EC-A861-E67B67E4AB9D}"/>
              </c:ext>
            </c:extLst>
          </c:dPt>
          <c:dPt>
            <c:idx val="9"/>
            <c:bubble3D val="0"/>
            <c:spPr>
              <a:solidFill>
                <a:schemeClr val="accent4">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3-5D48-41EC-A861-E67B67E4AB9D}"/>
              </c:ext>
            </c:extLst>
          </c:dPt>
          <c:dPt>
            <c:idx val="10"/>
            <c:bubble3D val="0"/>
            <c:spPr>
              <a:solidFill>
                <a:schemeClr val="accent5">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5-5D48-41EC-A861-E67B67E4AB9D}"/>
              </c:ext>
            </c:extLst>
          </c:dPt>
          <c:dPt>
            <c:idx val="11"/>
            <c:bubble3D val="0"/>
            <c:spPr>
              <a:solidFill>
                <a:schemeClr val="accent6">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7-5D48-41EC-A861-E67B67E4AB9D}"/>
              </c:ext>
            </c:extLst>
          </c:dPt>
          <c:dPt>
            <c:idx val="12"/>
            <c:bubble3D val="0"/>
            <c:spPr>
              <a:solidFill>
                <a:schemeClr val="accent1">
                  <a:lumMod val="80000"/>
                  <a:lumOff val="2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9-5D48-41EC-A861-E67B67E4AB9D}"/>
              </c:ext>
            </c:extLst>
          </c:dPt>
          <c:dPt>
            <c:idx val="13"/>
            <c:bubble3D val="0"/>
            <c:spPr>
              <a:solidFill>
                <a:schemeClr val="accent2">
                  <a:lumMod val="80000"/>
                  <a:lumOff val="2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B-5D48-41EC-A861-E67B67E4AB9D}"/>
              </c:ext>
            </c:extLst>
          </c:dPt>
          <c:dPt>
            <c:idx val="14"/>
            <c:bubble3D val="0"/>
            <c:spPr>
              <a:solidFill>
                <a:schemeClr val="accent3">
                  <a:lumMod val="80000"/>
                  <a:lumOff val="2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D-5D48-41EC-A861-E67B67E4AB9D}"/>
              </c:ext>
            </c:extLst>
          </c:dPt>
          <c:dPt>
            <c:idx val="15"/>
            <c:bubble3D val="0"/>
            <c:spPr>
              <a:solidFill>
                <a:schemeClr val="accent4">
                  <a:lumMod val="80000"/>
                  <a:lumOff val="2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F-5D48-41EC-A861-E67B67E4AB9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layout/>
              </c:ext>
            </c:extLst>
          </c:dLbls>
          <c:cat>
            <c:strRef>
              <c:f>'FICHA DE CARACTERIZACION A 3.1'!$A$219:$A$235</c:f>
              <c:strCache>
                <c:ptCount val="16"/>
                <c:pt idx="0">
                  <c:v>* Plásticos de un solo uso (SUP) [iii]</c:v>
                </c:pt>
                <c:pt idx="1">
                  <c:v>ACEITE</c:v>
                </c:pt>
                <c:pt idx="2">
                  <c:v>Baterias</c:v>
                </c:pt>
                <c:pt idx="3">
                  <c:v>Biorresiduos</c:v>
                </c:pt>
                <c:pt idx="4">
                  <c:v>Brik</c:v>
                </c:pt>
                <c:pt idx="5">
                  <c:v>Madera</c:v>
                </c:pt>
                <c:pt idx="6">
                  <c:v>Metales férricos</c:v>
                </c:pt>
                <c:pt idx="7">
                  <c:v>Metales no férricos</c:v>
                </c:pt>
                <c:pt idx="8">
                  <c:v>Otros</c:v>
                </c:pt>
                <c:pt idx="9">
                  <c:v>Papel – cartón</c:v>
                </c:pt>
                <c:pt idx="10">
                  <c:v>Plásticos (excepto SUP*)</c:v>
                </c:pt>
                <c:pt idx="11">
                  <c:v>RAEE [iv]</c:v>
                </c:pt>
                <c:pt idx="12">
                  <c:v>Textiles</c:v>
                </c:pt>
                <c:pt idx="13">
                  <c:v>Textiles sanitarios</c:v>
                </c:pt>
                <c:pt idx="14">
                  <c:v>Tierras y RCDs</c:v>
                </c:pt>
                <c:pt idx="15">
                  <c:v>Vidrio </c:v>
                </c:pt>
              </c:strCache>
            </c:strRef>
          </c:cat>
          <c:val>
            <c:numRef>
              <c:f>'FICHA DE CARACTERIZACION A 3.1'!$B$219:$B$235</c:f>
              <c:numCache>
                <c:formatCode>General</c:formatCode>
                <c:ptCount val="16"/>
                <c:pt idx="0">
                  <c:v>1473.0000000000002</c:v>
                </c:pt>
                <c:pt idx="1">
                  <c:v>324.60000000000002</c:v>
                </c:pt>
                <c:pt idx="2">
                  <c:v>664.2</c:v>
                </c:pt>
                <c:pt idx="3">
                  <c:v>2188.2000000000003</c:v>
                </c:pt>
                <c:pt idx="4">
                  <c:v>213.60000000000002</c:v>
                </c:pt>
                <c:pt idx="5">
                  <c:v>472.2</c:v>
                </c:pt>
                <c:pt idx="6">
                  <c:v>448.2</c:v>
                </c:pt>
                <c:pt idx="7">
                  <c:v>460.2</c:v>
                </c:pt>
                <c:pt idx="8">
                  <c:v>2136.6000000000004</c:v>
                </c:pt>
                <c:pt idx="9">
                  <c:v>648.40000000000009</c:v>
                </c:pt>
                <c:pt idx="10">
                  <c:v>4209.5999999999976</c:v>
                </c:pt>
                <c:pt idx="11">
                  <c:v>327.60000000000002</c:v>
                </c:pt>
                <c:pt idx="12">
                  <c:v>336.6</c:v>
                </c:pt>
                <c:pt idx="13">
                  <c:v>339.6</c:v>
                </c:pt>
                <c:pt idx="14">
                  <c:v>688.2</c:v>
                </c:pt>
                <c:pt idx="15">
                  <c:v>436.2</c:v>
                </c:pt>
              </c:numCache>
            </c:numRef>
          </c:val>
          <c:extLst>
            <c:ext xmlns:c16="http://schemas.microsoft.com/office/drawing/2014/chart" uri="{C3380CC4-5D6E-409C-BE32-E72D297353CC}">
              <c16:uniqueId val="{00000000-9FF1-43A5-9927-A2C02994A8E5}"/>
            </c:ext>
          </c:extLst>
        </c:ser>
        <c:ser>
          <c:idx val="1"/>
          <c:order val="1"/>
          <c:tx>
            <c:strRef>
              <c:f>'FICHA DE CARACTERIZACION A 3.1'!$C$218</c:f>
              <c:strCache>
                <c:ptCount val="1"/>
                <c:pt idx="0">
                  <c:v>Suma de %</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1-5D48-41EC-A861-E67B67E4AB9D}"/>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3-5D48-41EC-A861-E67B67E4AB9D}"/>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5-5D48-41EC-A861-E67B67E4AB9D}"/>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7-5D48-41EC-A861-E67B67E4AB9D}"/>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9-5D48-41EC-A861-E67B67E4AB9D}"/>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B-5D48-41EC-A861-E67B67E4AB9D}"/>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D-5D48-41EC-A861-E67B67E4AB9D}"/>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2F-5D48-41EC-A861-E67B67E4AB9D}"/>
              </c:ext>
            </c:extLst>
          </c:dPt>
          <c:dPt>
            <c:idx val="8"/>
            <c:bubble3D val="0"/>
            <c:spPr>
              <a:solidFill>
                <a:schemeClr val="accent3">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1-5D48-41EC-A861-E67B67E4AB9D}"/>
              </c:ext>
            </c:extLst>
          </c:dPt>
          <c:dPt>
            <c:idx val="9"/>
            <c:bubble3D val="0"/>
            <c:spPr>
              <a:solidFill>
                <a:schemeClr val="accent4">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3-5D48-41EC-A861-E67B67E4AB9D}"/>
              </c:ext>
            </c:extLst>
          </c:dPt>
          <c:dPt>
            <c:idx val="10"/>
            <c:bubble3D val="0"/>
            <c:spPr>
              <a:solidFill>
                <a:schemeClr val="accent5">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5-5D48-41EC-A861-E67B67E4AB9D}"/>
              </c:ext>
            </c:extLst>
          </c:dPt>
          <c:dPt>
            <c:idx val="11"/>
            <c:bubble3D val="0"/>
            <c:spPr>
              <a:solidFill>
                <a:schemeClr val="accent6">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7-5D48-41EC-A861-E67B67E4AB9D}"/>
              </c:ext>
            </c:extLst>
          </c:dPt>
          <c:dPt>
            <c:idx val="12"/>
            <c:bubble3D val="0"/>
            <c:spPr>
              <a:solidFill>
                <a:schemeClr val="accent1">
                  <a:lumMod val="80000"/>
                  <a:lumOff val="2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9-5D48-41EC-A861-E67B67E4AB9D}"/>
              </c:ext>
            </c:extLst>
          </c:dPt>
          <c:dPt>
            <c:idx val="13"/>
            <c:bubble3D val="0"/>
            <c:spPr>
              <a:solidFill>
                <a:schemeClr val="accent2">
                  <a:lumMod val="80000"/>
                  <a:lumOff val="2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B-5D48-41EC-A861-E67B67E4AB9D}"/>
              </c:ext>
            </c:extLst>
          </c:dPt>
          <c:dPt>
            <c:idx val="14"/>
            <c:bubble3D val="0"/>
            <c:spPr>
              <a:solidFill>
                <a:schemeClr val="accent3">
                  <a:lumMod val="80000"/>
                  <a:lumOff val="2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D-5D48-41EC-A861-E67B67E4AB9D}"/>
              </c:ext>
            </c:extLst>
          </c:dPt>
          <c:dPt>
            <c:idx val="15"/>
            <c:bubble3D val="0"/>
            <c:spPr>
              <a:solidFill>
                <a:schemeClr val="accent4">
                  <a:lumMod val="80000"/>
                  <a:lumOff val="2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3F-5D48-41EC-A861-E67B67E4AB9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'FICHA DE CARACTERIZACION A 3.1'!$A$219:$A$235</c:f>
              <c:strCache>
                <c:ptCount val="16"/>
                <c:pt idx="0">
                  <c:v>* Plásticos de un solo uso (SUP) [iii]</c:v>
                </c:pt>
                <c:pt idx="1">
                  <c:v>ACEITE</c:v>
                </c:pt>
                <c:pt idx="2">
                  <c:v>Baterias</c:v>
                </c:pt>
                <c:pt idx="3">
                  <c:v>Biorresiduos</c:v>
                </c:pt>
                <c:pt idx="4">
                  <c:v>Brik</c:v>
                </c:pt>
                <c:pt idx="5">
                  <c:v>Madera</c:v>
                </c:pt>
                <c:pt idx="6">
                  <c:v>Metales férricos</c:v>
                </c:pt>
                <c:pt idx="7">
                  <c:v>Metales no férricos</c:v>
                </c:pt>
                <c:pt idx="8">
                  <c:v>Otros</c:v>
                </c:pt>
                <c:pt idx="9">
                  <c:v>Papel – cartón</c:v>
                </c:pt>
                <c:pt idx="10">
                  <c:v>Plásticos (excepto SUP*)</c:v>
                </c:pt>
                <c:pt idx="11">
                  <c:v>RAEE [iv]</c:v>
                </c:pt>
                <c:pt idx="12">
                  <c:v>Textiles</c:v>
                </c:pt>
                <c:pt idx="13">
                  <c:v>Textiles sanitarios</c:v>
                </c:pt>
                <c:pt idx="14">
                  <c:v>Tierras y RCDs</c:v>
                </c:pt>
                <c:pt idx="15">
                  <c:v>Vidrio </c:v>
                </c:pt>
              </c:strCache>
            </c:strRef>
          </c:cat>
          <c:val>
            <c:numRef>
              <c:f>'FICHA DE CARACTERIZACION A 3.1'!$C$219:$C$235</c:f>
              <c:numCache>
                <c:formatCode>0%</c:formatCode>
                <c:ptCount val="16"/>
                <c:pt idx="0">
                  <c:v>9.5854753692978301E-2</c:v>
                </c:pt>
                <c:pt idx="1">
                  <c:v>2.1123186048024954E-2</c:v>
                </c:pt>
                <c:pt idx="2">
                  <c:v>4.3222489750764558E-2</c:v>
                </c:pt>
                <c:pt idx="3">
                  <c:v>0.14239604346977267</c:v>
                </c:pt>
                <c:pt idx="4">
                  <c:v>1.3899915403136572E-2</c:v>
                </c:pt>
                <c:pt idx="5">
                  <c:v>3.0728183770417077E-2</c:v>
                </c:pt>
                <c:pt idx="6">
                  <c:v>2.9166395522873645E-2</c:v>
                </c:pt>
                <c:pt idx="7">
                  <c:v>2.9947289646645364E-2</c:v>
                </c:pt>
                <c:pt idx="8">
                  <c:v>0.1390381987375543</c:v>
                </c:pt>
                <c:pt idx="9">
                  <c:v>4.2194312487798466E-2</c:v>
                </c:pt>
                <c:pt idx="10">
                  <c:v>0.27393765861911845</c:v>
                </c:pt>
                <c:pt idx="11">
                  <c:v>2.1318409578967884E-2</c:v>
                </c:pt>
                <c:pt idx="12">
                  <c:v>2.1904080171796673E-2</c:v>
                </c:pt>
                <c:pt idx="13">
                  <c:v>2.2099303702739603E-2</c:v>
                </c:pt>
                <c:pt idx="14">
                  <c:v>4.4784277998307989E-2</c:v>
                </c:pt>
                <c:pt idx="15">
                  <c:v>2.8385501399101926E-2</c:v>
                </c:pt>
              </c:numCache>
            </c:numRef>
          </c:val>
          <c:extLst>
            <c:ext xmlns:c16="http://schemas.microsoft.com/office/drawing/2014/chart" uri="{C3380CC4-5D6E-409C-BE32-E72D297353CC}">
              <c16:uniqueId val="{00000001-9FF1-43A5-9927-A2C02994A8E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7728904209902532"/>
          <c:y val="6.435338325633147E-2"/>
          <c:w val="0.4017043304290796"/>
          <c:h val="0.89831360967838614"/>
        </c:manualLayout>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[20230523 ficha con propios e impropios.xlsx]FICHA DE CARACTERIZACION A 3.1!TablaDinámica1</c:name>
    <c:fmtId val="0"/>
  </c:pivotSource>
  <c:chart>
    <c:title>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ES"/>
        </a:p>
      </c:txPr>
    </c:title>
    <c:autoTitleDeleted val="0"/>
    <c:pivotFmts>
      <c:pivotFmt>
        <c:idx val="0"/>
      </c:pivotFmt>
      <c:pivotFmt>
        <c:idx val="1"/>
      </c:pivotFmt>
      <c:pivotFmt>
        <c:idx val="2"/>
        <c:spPr>
          <a:solidFill>
            <a:schemeClr val="accent1"/>
          </a:solidFill>
          <a:ln>
            <a:noFill/>
          </a:ln>
          <a:effectLst>
            <a:outerShdw blurRad="317500" algn="ctr" rotWithShape="0">
              <a:prstClr val="black">
                <a:alpha val="25000"/>
              </a:prst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extLst>
            <c:ext xmlns:c15="http://schemas.microsoft.com/office/drawing/2012/chart" uri="{CE6537A1-D6FC-4f65-9D91-7224C49458BB}">
              <c15:layout/>
            </c:ext>
          </c:extLst>
        </c:dLbl>
      </c:pivotFmt>
      <c:pivotFmt>
        <c:idx val="3"/>
        <c:spPr>
          <a:solidFill>
            <a:schemeClr val="accent1"/>
          </a:solidFill>
          <a:ln>
            <a:noFill/>
          </a:ln>
          <a:effectLst>
            <a:outerShdw blurRad="317500" algn="ctr"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a:noFill/>
          </a:ln>
          <a:effectLst>
            <a:outerShdw blurRad="317500" algn="ctr" rotWithShape="0">
              <a:prstClr val="black">
                <a:alpha val="25000"/>
              </a:prstClr>
            </a:outerShdw>
          </a:effectLst>
        </c:spPr>
      </c:pivotFmt>
      <c:pivotFmt>
        <c:idx val="5"/>
        <c:spPr>
          <a:solidFill>
            <a:schemeClr val="accent1"/>
          </a:solidFill>
          <a:ln>
            <a:noFill/>
          </a:ln>
          <a:effectLst>
            <a:outerShdw blurRad="317500" algn="ctr" rotWithShape="0">
              <a:prstClr val="black">
                <a:alpha val="25000"/>
              </a:prstClr>
            </a:outerShdw>
          </a:effectLst>
        </c:spPr>
      </c:pivotFmt>
      <c:pivotFmt>
        <c:idx val="6"/>
        <c:spPr>
          <a:solidFill>
            <a:schemeClr val="accent1"/>
          </a:solidFill>
          <a:ln>
            <a:noFill/>
          </a:ln>
          <a:effectLst>
            <a:outerShdw blurRad="317500" algn="ctr" rotWithShape="0">
              <a:prstClr val="black">
                <a:alpha val="25000"/>
              </a:prstClr>
            </a:outerShdw>
          </a:effectLst>
        </c:spPr>
      </c:pivotFmt>
      <c:pivotFmt>
        <c:idx val="7"/>
        <c:spPr>
          <a:solidFill>
            <a:schemeClr val="accent1"/>
          </a:solidFill>
          <a:ln>
            <a:noFill/>
          </a:ln>
          <a:effectLst>
            <a:outerShdw blurRad="317500" algn="ctr" rotWithShape="0">
              <a:prstClr val="black">
                <a:alpha val="25000"/>
              </a:prstClr>
            </a:outerShdw>
          </a:effectLst>
        </c:spPr>
      </c:pivotFmt>
      <c:pivotFmt>
        <c:idx val="8"/>
        <c:spPr>
          <a:solidFill>
            <a:schemeClr val="accent1"/>
          </a:solidFill>
          <a:ln>
            <a:noFill/>
          </a:ln>
          <a:effectLst>
            <a:outerShdw blurRad="317500" algn="ctr" rotWithShape="0">
              <a:prstClr val="black">
                <a:alpha val="25000"/>
              </a:prstClr>
            </a:outerShdw>
          </a:effectLst>
        </c:spPr>
      </c:pivotFmt>
      <c:pivotFmt>
        <c:idx val="9"/>
        <c:spPr>
          <a:solidFill>
            <a:schemeClr val="accent1"/>
          </a:solidFill>
          <a:ln>
            <a:noFill/>
          </a:ln>
          <a:effectLst>
            <a:outerShdw blurRad="317500" algn="ctr" rotWithShape="0">
              <a:prstClr val="black">
                <a:alpha val="25000"/>
              </a:prstClr>
            </a:outerShdw>
          </a:effectLst>
        </c:spPr>
      </c:pivotFmt>
    </c:pivotFmts>
    <c:plotArea>
      <c:layout/>
      <c:pieChart>
        <c:varyColors val="1"/>
        <c:ser>
          <c:idx val="0"/>
          <c:order val="0"/>
          <c:tx>
            <c:strRef>
              <c:f>'FICHA DE CARACTERIZACION A 3.1'!$B$185</c:f>
              <c:strCache>
                <c:ptCount val="1"/>
                <c:pt idx="0">
                  <c:v>Suma de TOTAL</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3C3E-4737-9B92-80CE5B5D8B74}"/>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3C3E-4737-9B92-80CE5B5D8B74}"/>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3C3E-4737-9B92-80CE5B5D8B7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layout/>
              </c:ext>
            </c:extLst>
          </c:dLbls>
          <c:cat>
            <c:strRef>
              <c:f>'FICHA DE CARACTERIZACION A 3.1'!$A$186:$A$189</c:f>
              <c:strCache>
                <c:ptCount val="3"/>
                <c:pt idx="0">
                  <c:v>COMERCIALES</c:v>
                </c:pt>
                <c:pt idx="1">
                  <c:v>DOMÉSTICOS</c:v>
                </c:pt>
                <c:pt idx="2">
                  <c:v>INDUSTRIALES / AGRICOLAS</c:v>
                </c:pt>
              </c:strCache>
            </c:strRef>
          </c:cat>
          <c:val>
            <c:numRef>
              <c:f>'FICHA DE CARACTERIZACION A 3.1'!$B$186:$B$189</c:f>
              <c:numCache>
                <c:formatCode>General</c:formatCode>
                <c:ptCount val="3"/>
                <c:pt idx="0">
                  <c:v>5113.7999999999956</c:v>
                </c:pt>
                <c:pt idx="1">
                  <c:v>2223.4000000000005</c:v>
                </c:pt>
                <c:pt idx="2">
                  <c:v>8029.7999999999938</c:v>
                </c:pt>
              </c:numCache>
            </c:numRef>
          </c:val>
          <c:extLst>
            <c:ext xmlns:c16="http://schemas.microsoft.com/office/drawing/2014/chart" uri="{C3380CC4-5D6E-409C-BE32-E72D297353CC}">
              <c16:uniqueId val="{00000000-DDE0-4378-9CA2-61BDD1F5D37C}"/>
            </c:ext>
          </c:extLst>
        </c:ser>
        <c:ser>
          <c:idx val="1"/>
          <c:order val="1"/>
          <c:tx>
            <c:strRef>
              <c:f>'FICHA DE CARACTERIZACION A 3.1'!$C$185</c:f>
              <c:strCache>
                <c:ptCount val="1"/>
                <c:pt idx="0">
                  <c:v>Suma de %</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3C3E-4737-9B92-80CE5B5D8B74}"/>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3C3E-4737-9B92-80CE5B5D8B74}"/>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3C3E-4737-9B92-80CE5B5D8B7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'FICHA DE CARACTERIZACION A 3.1'!$A$186:$A$189</c:f>
              <c:strCache>
                <c:ptCount val="3"/>
                <c:pt idx="0">
                  <c:v>COMERCIALES</c:v>
                </c:pt>
                <c:pt idx="1">
                  <c:v>DOMÉSTICOS</c:v>
                </c:pt>
                <c:pt idx="2">
                  <c:v>INDUSTRIALES / AGRICOLAS</c:v>
                </c:pt>
              </c:strCache>
            </c:strRef>
          </c:cat>
          <c:val>
            <c:numRef>
              <c:f>'FICHA DE CARACTERIZACION A 3.1'!$C$186:$C$189</c:f>
              <c:numCache>
                <c:formatCode>0%</c:formatCode>
                <c:ptCount val="3"/>
                <c:pt idx="0">
                  <c:v>0.33277803084531737</c:v>
                </c:pt>
                <c:pt idx="1">
                  <c:v>0.14468666623283633</c:v>
                </c:pt>
                <c:pt idx="2">
                  <c:v>0.52253530292184469</c:v>
                </c:pt>
              </c:numCache>
            </c:numRef>
          </c:val>
          <c:extLst>
            <c:ext xmlns:c16="http://schemas.microsoft.com/office/drawing/2014/chart" uri="{C3380CC4-5D6E-409C-BE32-E72D297353CC}">
              <c16:uniqueId val="{00000001-DDE0-4378-9CA2-61BDD1F5D37C}"/>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559593</xdr:colOff>
      <xdr:row>196</xdr:row>
      <xdr:rowOff>164306</xdr:rowOff>
    </xdr:from>
    <xdr:to>
      <xdr:col>4</xdr:col>
      <xdr:colOff>2345531</xdr:colOff>
      <xdr:row>215</xdr:row>
      <xdr:rowOff>23812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440530</xdr:colOff>
      <xdr:row>216</xdr:row>
      <xdr:rowOff>104773</xdr:rowOff>
    </xdr:from>
    <xdr:to>
      <xdr:col>5</xdr:col>
      <xdr:colOff>1535906</xdr:colOff>
      <xdr:row>240</xdr:row>
      <xdr:rowOff>23811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583406</xdr:colOff>
      <xdr:row>178</xdr:row>
      <xdr:rowOff>69057</xdr:rowOff>
    </xdr:from>
    <xdr:to>
      <xdr:col>4</xdr:col>
      <xdr:colOff>2357437</xdr:colOff>
      <xdr:row>194</xdr:row>
      <xdr:rowOff>178594</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039819" refreshedDate="45065.557828935183" createdVersion="6" refreshedVersion="6" minRefreshableVersion="3" recordCount="162">
  <cacheSource type="worksheet">
    <worksheetSource ref="A15:Q177" sheet="FICHA DE CARACTERIZACION A 3.1"/>
  </cacheSource>
  <cacheFields count="17">
    <cacheField name="ORIGEN" numFmtId="0">
      <sharedItems count="3">
        <s v="DOMÉSTICOS"/>
        <s v="COMERCIALES"/>
        <s v="INDUSTRIALES / AGRICOLAS"/>
      </sharedItems>
    </cacheField>
    <cacheField name="NIVEL 0" numFmtId="0">
      <sharedItems count="16">
        <s v="Papel – cartón"/>
        <s v="Brik"/>
        <s v="Vidrio "/>
        <s v="Metales férricos"/>
        <s v="Metales no férricos"/>
        <s v="Madera"/>
        <s v="Plásticos (excepto SUP*)"/>
        <s v="* Plásticos de un solo uso (SUP) [iii]"/>
        <s v="Biorresiduos"/>
        <s v="ACEITE"/>
        <s v="RAEE [iv]"/>
        <s v="Baterias"/>
        <s v="Textiles"/>
        <s v="Textiles sanitarios"/>
        <s v="Tierras y RCDs"/>
        <s v="Otros"/>
      </sharedItems>
    </cacheField>
    <cacheField name="NIVEL 1" numFmtId="0">
      <sharedItems containsBlank="1" count="37">
        <m/>
        <s v="Acero"/>
        <s v="Aluminio"/>
        <s v="PET "/>
        <s v="PEAD"/>
        <s v="PEBD"/>
        <s v="PVC"/>
        <s v="PP"/>
        <s v="PS (excepto EPS)"/>
        <s v="EPS"/>
        <s v="Otros Plásticos"/>
        <s v="Botellas para bebidas de hasta tres litros de capacidad, incluidos sus tapas y tapones"/>
        <s v="Productos de tabaco con filtro y fitros comercializados para utilizarse en combinación con productos del tabaco"/>
        <s v="Recipientes para alimentos"/>
        <s v="Vasos para bebidas (incluidas sus tapas y tapones)"/>
        <s v="Otros"/>
        <s v="Restos de alimentos no cocinados y restos derivados de la preparación de alimentos"/>
        <s v="Restos de alimentos cocinados"/>
        <s v="Celulosas: Papel de cocina, servilletas"/>
        <s v="Otros restos de cocina compostables: bolsas, corchos, palillos de madera y otros resto compostables (vasos de papel, etc.)"/>
        <s v="Derroche alimentario: alimentos caducados y en mal estado (a granel o en envases abiertos, el envase se separará en su fracción)"/>
        <s v="Restos vegetales (césped, hojas, flores, etc.)"/>
        <s v="Restos de poda (ramas, arbustos, etc.)"/>
        <s v="Aceite de cocina usados (contenidos en envases)"/>
        <s v="RAEE "/>
        <s v="Pilas y Acumuladores"/>
        <s v="Baterías de Vehículos"/>
        <s v="Textiles y piel"/>
        <s v="Textiles y celulósicos sanitarios"/>
        <s v="Tierras y Escombros"/>
        <s v="Restos de obras menores"/>
        <s v="Inclasificables mayores de 50 mm"/>
        <s v="Finos &lt; 50 mm (si &gt; 2kg*, se hará una analitica en laboratorio)"/>
        <s v="Cantidad de Producto en Envases (Sólido)"/>
        <s v="Cantidad de Producto en Envases (líquido-no aceite)"/>
        <s v="Caucho"/>
        <s v="Otros otros  (cuerdas multimaterial…)"/>
      </sharedItems>
    </cacheField>
    <cacheField name="NIVEL 2" numFmtId="0">
      <sharedItems containsBlank="1"/>
    </cacheField>
    <cacheField name="Residuo" numFmtId="0">
      <sharedItems/>
    </cacheField>
    <cacheField name="Detalle residuo" numFmtId="0">
      <sharedItems count="162">
        <s v="DOMÉSTICOS Papel – cartón  Papel y Cartón envase (Con Pto. Verde)"/>
        <s v="DOMÉSTICOS Papel – cartón  Papel y Cartón envase (Sin Pto. Verde)"/>
        <s v="DOMÉSTICOS Papel – cartón  Papel/Cartón No Envase"/>
        <s v="DOMÉSTICOS Brik  Envase"/>
        <s v="DOMÉSTICOS Vidrio   Envase"/>
        <s v="DOMÉSTICOS Vidrio   No envase"/>
        <s v="DOMÉSTICOS Metales férricos Acero Envase"/>
        <s v="DOMÉSTICOS Metales férricos Acero No envase"/>
        <s v="DOMÉSTICOS Metales no férricos Aluminio Envase"/>
        <s v="DOMÉSTICOS Metales no férricos Aluminio No envase"/>
        <s v="DOMÉSTICOS Madera  Envase"/>
        <s v="DOMÉSTICOS Madera  No envase"/>
        <s v="DOMÉSTICOS Plásticos (excepto SUP*) PET  Envase"/>
        <s v="DOMÉSTICOS Plásticos (excepto SUP*) PET  No envase"/>
        <s v="DOMÉSTICOS Plásticos (excepto SUP*) PEAD Envase"/>
        <s v="DOMÉSTICOS Plásticos (excepto SUP*) PEAD No envase"/>
        <s v="DOMÉSTICOS Plásticos (excepto SUP*) PEBD Envase"/>
        <s v="DOMÉSTICOS Plásticos (excepto SUP*) PEBD No envase"/>
        <s v="DOMÉSTICOS Plásticos (excepto SUP*) PVC Envase"/>
        <s v="DOMÉSTICOS Plásticos (excepto SUP*) PVC No envase"/>
        <s v="DOMÉSTICOS Plásticos (excepto SUP*) PP Envase"/>
        <s v="DOMÉSTICOS Plásticos (excepto SUP*) PP No envase"/>
        <s v="DOMÉSTICOS Plásticos (excepto SUP*) PS (excepto EPS) Envase"/>
        <s v="DOMÉSTICOS Plásticos (excepto SUP*) PS (excepto EPS) No envase"/>
        <s v="DOMÉSTICOS Plásticos (excepto SUP*) EPS Envase"/>
        <s v="DOMÉSTICOS Plásticos (excepto SUP*) EPS No envase"/>
        <s v="DOMÉSTICOS Plásticos (excepto SUP*) Otros Plásticos Envase"/>
        <s v="DOMÉSTICOS Plásticos (excepto SUP*) Otros Plásticos No envase"/>
        <s v="DOMÉSTICOS * Plásticos de un solo uso (SUP) [iii] Botellas para bebidas de hasta tres litros de capacidad, incluidos sus tapas y tapones "/>
        <s v="DOMÉSTICOS * Plásticos de un solo uso (SUP) [iii] Productos de tabaco con filtro y fitros comercializados para utilizarse en combinación con productos del tabaco "/>
        <s v="DOMÉSTICOS * Plásticos de un solo uso (SUP) [iii] Recipientes para alimentos "/>
        <s v="DOMÉSTICOS * Plásticos de un solo uso (SUP) [iii] Vasos para bebidas (incluidas sus tapas y tapones) "/>
        <s v="DOMÉSTICOS * Plásticos de un solo uso (SUP) [iii] Otros "/>
        <s v="DOMÉSTICOS Biorresiduos Restos de alimentos no cocinados y restos derivados de la preparación de alimentos "/>
        <s v="DOMÉSTICOS Biorresiduos Restos de alimentos cocinados "/>
        <s v="DOMÉSTICOS Biorresiduos Celulosas: Papel de cocina, servilletas "/>
        <s v="DOMÉSTICOS Biorresiduos Otros restos de cocina compostables: bolsas, corchos, palillos de madera y otros resto compostables (vasos de papel, etc.) "/>
        <s v="DOMÉSTICOS Biorresiduos Derroche alimentario: alimentos caducados y en mal estado (a granel o en envases abiertos, el envase se separará en su fracción) "/>
        <s v="DOMÉSTICOS Biorresiduos Restos vegetales (césped, hojas, flores, etc.) "/>
        <s v="DOMÉSTICOS Biorresiduos Restos de poda (ramas, arbustos, etc.) "/>
        <s v="DOMÉSTICOS ACEITE Aceite de cocina usados (contenidos en envases) "/>
        <s v="DOMÉSTICOS RAEE [iv] RAEE  "/>
        <s v="DOMÉSTICOS Baterias Pilas y Acumuladores "/>
        <s v="DOMÉSTICOS Baterias Baterías de Vehículos "/>
        <s v="DOMÉSTICOS Textiles Textiles y piel "/>
        <s v="DOMÉSTICOS Textiles sanitarios Textiles y celulósicos sanitarios "/>
        <s v="DOMÉSTICOS Tierras y RCDs Tierras y Escombros "/>
        <s v="DOMÉSTICOS Tierras y RCDs Restos de obras menores "/>
        <s v="DOMÉSTICOS Otros Inclasificables mayores de 50 mm "/>
        <s v="DOMÉSTICOS Otros Finos &lt; 50 mm (si &gt; 2kg*, se hará una analitica en laboratorio) "/>
        <s v="DOMÉSTICOS Otros Cantidad de Producto en Envases (Sólido) "/>
        <s v="DOMÉSTICOS Otros Cantidad de Producto en Envases (líquido-no aceite) "/>
        <s v="DOMÉSTICOS Otros Caucho "/>
        <s v="DOMÉSTICOS Otros Otros otros  (cuerdas multimaterial…) "/>
        <s v="COMERCIALES Papel – cartón  Papel y Cartón envase (Con Pto. Verde)"/>
        <s v="COMERCIALES Papel – cartón  Papel y Cartón envase (Sin Pto. Verde)"/>
        <s v="COMERCIALES Papel – cartón  Papel/Cartón No Envase"/>
        <s v="COMERCIALES Brik  Envase"/>
        <s v="COMERCIALES Vidrio   Envase"/>
        <s v="COMERCIALES Vidrio   No envase"/>
        <s v="COMERCIALES Metales férricos Acero Envase"/>
        <s v="COMERCIALES Metales férricos Acero No envase"/>
        <s v="COMERCIALES Metales no férricos Aluminio Envase"/>
        <s v="COMERCIALES Metales no férricos Aluminio No envase"/>
        <s v="COMERCIALES Madera  Envase"/>
        <s v="COMERCIALES Madera  No envase"/>
        <s v="COMERCIALES Plásticos (excepto SUP*) PET  Envase"/>
        <s v="COMERCIALES Plásticos (excepto SUP*) PET  No envase"/>
        <s v="COMERCIALES Plásticos (excepto SUP*) PEAD Envase"/>
        <s v="COMERCIALES Plásticos (excepto SUP*) PEAD No envase"/>
        <s v="COMERCIALES Plásticos (excepto SUP*) PEBD Envase"/>
        <s v="COMERCIALES Plásticos (excepto SUP*) PEBD No envase"/>
        <s v="COMERCIALES Plásticos (excepto SUP*) PVC Envase"/>
        <s v="COMERCIALES Plásticos (excepto SUP*) PVC No envase"/>
        <s v="COMERCIALES Plásticos (excepto SUP*) PP Envase"/>
        <s v="COMERCIALES Plásticos (excepto SUP*) PP No envase"/>
        <s v="COMERCIALES Plásticos (excepto SUP*) PS (excepto EPS) Envase"/>
        <s v="COMERCIALES Plásticos (excepto SUP*) PS (excepto EPS) No envase"/>
        <s v="COMERCIALES Plásticos (excepto SUP*) EPS Envase"/>
        <s v="COMERCIALES Plásticos (excepto SUP*) EPS No envase"/>
        <s v="COMERCIALES Plásticos (excepto SUP*) Otros Plásticos Envase"/>
        <s v="COMERCIALES Plásticos (excepto SUP*) Otros Plásticos No envase"/>
        <s v="COMERCIALES * Plásticos de un solo uso (SUP) [iii] Botellas para bebidas de hasta tres litros de capacidad, incluidos sus tapas y tapones "/>
        <s v="COMERCIALES * Plásticos de un solo uso (SUP) [iii] Productos de tabaco con filtro y fitros comercializados para utilizarse en combinación con productos del tabaco "/>
        <s v="COMERCIALES * Plásticos de un solo uso (SUP) [iii] Recipientes para alimentos "/>
        <s v="COMERCIALES * Plásticos de un solo uso (SUP) [iii] Vasos para bebidas (incluidas sus tapas y tapones) "/>
        <s v="COMERCIALES * Plásticos de un solo uso (SUP) [iii] Otros "/>
        <s v="COMERCIALES Biorresiduos Restos de alimentos no cocinados y restos derivados de la preparación de alimentos "/>
        <s v="COMERCIALES Biorresiduos Restos de alimentos cocinados "/>
        <s v="COMERCIALES Biorresiduos Celulosas: Papel de cocina, servilletas "/>
        <s v="COMERCIALES Biorresiduos Otros restos de cocina compostables: bolsas, corchos, palillos de madera y otros resto compostables (vasos de papel, etc.) "/>
        <s v="COMERCIALES Biorresiduos Derroche alimentario: alimentos caducados y en mal estado (a granel o en envases abiertos, el envase se separará en su fracción) "/>
        <s v="COMERCIALES Biorresiduos Restos vegetales (césped, hojas, flores, etc.) "/>
        <s v="COMERCIALES Biorresiduos Restos de poda (ramas, arbustos, etc.) "/>
        <s v="COMERCIALES ACEITE Aceite de cocina usados (contenidos en envases) "/>
        <s v="COMERCIALES RAEE [iv] RAEE  "/>
        <s v="COMERCIALES Baterias Pilas y Acumuladores "/>
        <s v="COMERCIALES Baterias Baterías de Vehículos "/>
        <s v="COMERCIALES Textiles Textiles y piel "/>
        <s v="COMERCIALES Textiles sanitarios Textiles y celulósicos sanitarios "/>
        <s v="COMERCIALES Tierras y RCDs Tierras y Escombros "/>
        <s v="COMERCIALES Tierras y RCDs Restos de obras menores "/>
        <s v="COMERCIALES Otros Inclasificables mayores de 50 mm "/>
        <s v="COMERCIALES Otros Finos &lt; 50 mm (si &gt; 2kg*, se hará una analitica en laboratorio) "/>
        <s v="COMERCIALES Otros Cantidad de Producto en Envases (Sólido) "/>
        <s v="COMERCIALES Otros Cantidad de Producto en Envases (líquido-no aceite) "/>
        <s v="COMERCIALES Otros Caucho "/>
        <s v="COMERCIALES Otros Otros otros  (cuerdas multimaterial…) "/>
        <s v="INDUSTRIALES / AGRICOLAS Papel – cartón  Papel y Cartón envase (Con Pto. Verde)"/>
        <s v="INDUSTRIALES / AGRICOLAS Papel – cartón  Papel y Cartón envase (Sin Pto. Verde)"/>
        <s v="INDUSTRIALES / AGRICOLAS Papel – cartón  Papel/Cartón No Envase"/>
        <s v="INDUSTRIALES / AGRICOLAS Brik  Envase"/>
        <s v="INDUSTRIALES / AGRICOLAS Vidrio   Envase"/>
        <s v="INDUSTRIALES / AGRICOLAS Vidrio   No envase"/>
        <s v="INDUSTRIALES / AGRICOLAS Metales férricos Acero Envase"/>
        <s v="INDUSTRIALES / AGRICOLAS Metales férricos Acero No envase"/>
        <s v="INDUSTRIALES / AGRICOLAS Metales no férricos Aluminio Envase"/>
        <s v="INDUSTRIALES / AGRICOLAS Metales no férricos Aluminio No envase"/>
        <s v="INDUSTRIALES / AGRICOLAS Madera  Envase"/>
        <s v="INDUSTRIALES / AGRICOLAS Madera  No envase"/>
        <s v="INDUSTRIALES / AGRICOLAS Plásticos (excepto SUP*) PET  Envase"/>
        <s v="INDUSTRIALES / AGRICOLAS Plásticos (excepto SUP*) PET  No envase"/>
        <s v="INDUSTRIALES / AGRICOLAS Plásticos (excepto SUP*) PEAD Envase"/>
        <s v="INDUSTRIALES / AGRICOLAS Plásticos (excepto SUP*) PEAD No envase"/>
        <s v="INDUSTRIALES / AGRICOLAS Plásticos (excepto SUP*) PEBD Envase"/>
        <s v="INDUSTRIALES / AGRICOLAS Plásticos (excepto SUP*) PEBD No envase"/>
        <s v="INDUSTRIALES / AGRICOLAS Plásticos (excepto SUP*) PVC Envase"/>
        <s v="INDUSTRIALES / AGRICOLAS Plásticos (excepto SUP*) PVC No envase"/>
        <s v="INDUSTRIALES / AGRICOLAS Plásticos (excepto SUP*) PP Envase"/>
        <s v="INDUSTRIALES / AGRICOLAS Plásticos (excepto SUP*) PP No envase"/>
        <s v="INDUSTRIALES / AGRICOLAS Plásticos (excepto SUP*) PS (excepto EPS) Envase"/>
        <s v="INDUSTRIALES / AGRICOLAS Plásticos (excepto SUP*) PS (excepto EPS) No envase"/>
        <s v="INDUSTRIALES / AGRICOLAS Plásticos (excepto SUP*) EPS Envase"/>
        <s v="INDUSTRIALES / AGRICOLAS Plásticos (excepto SUP*) EPS No envase"/>
        <s v="INDUSTRIALES / AGRICOLAS Plásticos (excepto SUP*) Otros Plásticos Envase"/>
        <s v="INDUSTRIALES / AGRICOLAS Plásticos (excepto SUP*) Otros Plásticos No envase"/>
        <s v="INDUSTRIALES / AGRICOLAS * Plásticos de un solo uso (SUP) [iii] Botellas para bebidas de hasta tres litros de capacidad, incluidos sus tapas y tapones "/>
        <s v="INDUSTRIALES / AGRICOLAS * Plásticos de un solo uso (SUP) [iii] Productos de tabaco con filtro y fitros comercializados para utilizarse en combinación con productos del tabaco "/>
        <s v="INDUSTRIALES / AGRICOLAS * Plásticos de un solo uso (SUP) [iii] Recipientes para alimentos "/>
        <s v="INDUSTRIALES / AGRICOLAS * Plásticos de un solo uso (SUP) [iii] Vasos para bebidas (incluidas sus tapas y tapones) "/>
        <s v="INDUSTRIALES / AGRICOLAS * Plásticos de un solo uso (SUP) [iii] Otros "/>
        <s v="INDUSTRIALES / AGRICOLAS Biorresiduos Restos de alimentos no cocinados y restos derivados de la preparación de alimentos "/>
        <s v="INDUSTRIALES / AGRICOLAS Biorresiduos Restos de alimentos cocinados "/>
        <s v="INDUSTRIALES / AGRICOLAS Biorresiduos Celulosas: Papel de cocina, servilletas "/>
        <s v="INDUSTRIALES / AGRICOLAS Biorresiduos Otros restos de cocina compostables: bolsas, corchos, palillos de madera y otros resto compostables (vasos de papel, etc.) "/>
        <s v="INDUSTRIALES / AGRICOLAS Biorresiduos Derroche alimentario: alimentos caducados y en mal estado (a granel o en envases abiertos, el envase se separará en su fracción) "/>
        <s v="INDUSTRIALES / AGRICOLAS Biorresiduos Restos vegetales (césped, hojas, flores, etc.) "/>
        <s v="INDUSTRIALES / AGRICOLAS Biorresiduos Restos de poda (ramas, arbustos, etc.) "/>
        <s v="INDUSTRIALES / AGRICOLAS ACEITE Aceite de cocina usados (contenidos en envases) "/>
        <s v="INDUSTRIALES / AGRICOLAS RAEE [iv] RAEE  "/>
        <s v="INDUSTRIALES / AGRICOLAS Baterias Pilas y Acumuladores "/>
        <s v="INDUSTRIALES / AGRICOLAS Baterias Baterías de Vehículos "/>
        <s v="INDUSTRIALES / AGRICOLAS Textiles Textiles y piel "/>
        <s v="INDUSTRIALES / AGRICOLAS Textiles sanitarios Textiles y celulósicos sanitarios "/>
        <s v="INDUSTRIALES / AGRICOLAS Tierras y RCDs Tierras y Escombros "/>
        <s v="INDUSTRIALES / AGRICOLAS Tierras y RCDs Restos de obras menores "/>
        <s v="INDUSTRIALES / AGRICOLAS Otros Inclasificables mayores de 50 mm "/>
        <s v="INDUSTRIALES / AGRICOLAS Otros Finos &lt; 50 mm (si &gt; 2kg*, se hará una analitica en laboratorio) "/>
        <s v="INDUSTRIALES / AGRICOLAS Otros Cantidad de Producto en Envases (Sólido) "/>
        <s v="INDUSTRIALES / AGRICOLAS Otros Cantidad de Producto en Envases (líquido-no aceite) "/>
        <s v="INDUSTRIALES / AGRICOLAS Otros Caucho "/>
        <s v="INDUSTRIALES / AGRICOLAS Otros Otros otros  (cuerdas multimaterial…) "/>
      </sharedItems>
    </cacheField>
    <cacheField name="TARA" numFmtId="0">
      <sharedItems containsSemiMixedTypes="0" containsString="0" containsNumber="1" containsInteger="1" minValue="1" maxValue="1"/>
    </cacheField>
    <cacheField name="PESADA 1" numFmtId="0">
      <sharedItems containsSemiMixedTypes="0" containsString="0" containsNumber="1" minValue="15.2" maxValue="176.2"/>
    </cacheField>
    <cacheField name="PESADA 2" numFmtId="0">
      <sharedItems containsString="0" containsBlank="1" containsNumber="1" minValue="2" maxValue="25.6"/>
    </cacheField>
    <cacheField name="PESADA 3" numFmtId="0">
      <sharedItems containsString="0" containsBlank="1" containsNumber="1" containsInteger="1" minValue="1" maxValue="1"/>
    </cacheField>
    <cacheField name="PESADA 4" numFmtId="0">
      <sharedItems containsNonDate="0" containsString="0" containsBlank="1"/>
    </cacheField>
    <cacheField name="PESADA 5" numFmtId="0">
      <sharedItems containsNonDate="0" containsString="0" containsBlank="1"/>
    </cacheField>
    <cacheField name="TOTAL" numFmtId="0">
      <sharedItems containsSemiMixedTypes="0" containsString="0" containsNumber="1" minValue="16.2" maxValue="175.2"/>
    </cacheField>
    <cacheField name="%" numFmtId="10">
      <sharedItems containsSemiMixedTypes="0" containsString="0" containsNumber="1" minValue="1.0542070670918184E-3" maxValue="1.1401054207067074E-2"/>
    </cacheField>
    <cacheField name="nº Pesadas" numFmtId="0">
      <sharedItems containsSemiMixedTypes="0" containsString="0" containsNumber="1" containsInteger="1" minValue="1" maxValue="3"/>
    </cacheField>
    <cacheField name="Observaciones" numFmtId="0">
      <sharedItems containsNonDate="0" containsString="0" containsBlank="1"/>
    </cacheField>
    <cacheField name="Solicitado/impropio" numFmtId="0">
      <sharedItems count="4">
        <s v="Impropio"/>
        <s v="Solicitado"/>
        <s v="si" u="1"/>
        <s v="no"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2">
  <r>
    <x v="0"/>
    <x v="0"/>
    <x v="0"/>
    <s v="Papel y Cartón envase (Con Pto. Verde)"/>
    <s v="DOMÉSTICOS Papel – cartón  Papel y Cartón envase (Con Pto. Verde)"/>
    <x v="0"/>
    <n v="1"/>
    <n v="15.2"/>
    <n v="25.6"/>
    <m/>
    <m/>
    <m/>
    <n v="38.799999999999997"/>
    <n v="2.5248910001952193E-3"/>
    <n v="2"/>
    <m/>
    <x v="0"/>
  </r>
  <r>
    <x v="0"/>
    <x v="0"/>
    <x v="0"/>
    <s v="Papel y Cartón envase (Sin Pto. Verde)"/>
    <s v="DOMÉSTICOS Papel – cartón  Papel y Cartón envase (Sin Pto. Verde)"/>
    <x v="1"/>
    <n v="1"/>
    <n v="16.2"/>
    <n v="2"/>
    <n v="1"/>
    <m/>
    <m/>
    <n v="16.2"/>
    <n v="1.0542070670918184E-3"/>
    <n v="3"/>
    <m/>
    <x v="0"/>
  </r>
  <r>
    <x v="0"/>
    <x v="0"/>
    <x v="0"/>
    <s v="Papel/Cartón No Envase"/>
    <s v="DOMÉSTICOS Papel – cartón  Papel/Cartón No Envase"/>
    <x v="2"/>
    <n v="1"/>
    <n v="17.2"/>
    <m/>
    <m/>
    <m/>
    <m/>
    <n v="16.2"/>
    <n v="1.0542070670918184E-3"/>
    <n v="1"/>
    <m/>
    <x v="0"/>
  </r>
  <r>
    <x v="0"/>
    <x v="1"/>
    <x v="0"/>
    <s v="Envase"/>
    <s v="DOMÉSTICOS Brik  Envase"/>
    <x v="3"/>
    <n v="1"/>
    <n v="18.2"/>
    <m/>
    <m/>
    <m/>
    <m/>
    <n v="17.2"/>
    <n v="1.1192815774061283E-3"/>
    <n v="1"/>
    <m/>
    <x v="0"/>
  </r>
  <r>
    <x v="0"/>
    <x v="2"/>
    <x v="0"/>
    <s v="Envase"/>
    <s v="DOMÉSTICOS Vidrio   Envase"/>
    <x v="4"/>
    <n v="1"/>
    <n v="19.2"/>
    <m/>
    <m/>
    <m/>
    <m/>
    <n v="18.2"/>
    <n v="1.184356087720438E-3"/>
    <n v="1"/>
    <m/>
    <x v="0"/>
  </r>
  <r>
    <x v="0"/>
    <x v="2"/>
    <x v="0"/>
    <s v="No envase"/>
    <s v="DOMÉSTICOS Vidrio   No envase"/>
    <x v="5"/>
    <n v="1"/>
    <n v="20.2"/>
    <m/>
    <m/>
    <m/>
    <m/>
    <n v="19.2"/>
    <n v="1.2494305980347477E-3"/>
    <n v="1"/>
    <m/>
    <x v="0"/>
  </r>
  <r>
    <x v="0"/>
    <x v="3"/>
    <x v="1"/>
    <s v="Envase"/>
    <s v="DOMÉSTICOS Metales férricos Acero Envase"/>
    <x v="6"/>
    <n v="1"/>
    <n v="21.2"/>
    <m/>
    <m/>
    <m/>
    <m/>
    <n v="20.2"/>
    <n v="1.3145051083490577E-3"/>
    <n v="1"/>
    <m/>
    <x v="0"/>
  </r>
  <r>
    <x v="0"/>
    <x v="3"/>
    <x v="1"/>
    <s v="No envase"/>
    <s v="DOMÉSTICOS Metales férricos Acero No envase"/>
    <x v="7"/>
    <n v="1"/>
    <n v="22.2"/>
    <m/>
    <m/>
    <m/>
    <m/>
    <n v="21.2"/>
    <n v="1.3795796186633674E-3"/>
    <n v="1"/>
    <m/>
    <x v="1"/>
  </r>
  <r>
    <x v="0"/>
    <x v="4"/>
    <x v="2"/>
    <s v="Envase"/>
    <s v="DOMÉSTICOS Metales no férricos Aluminio Envase"/>
    <x v="8"/>
    <n v="1"/>
    <n v="23.2"/>
    <m/>
    <m/>
    <m/>
    <m/>
    <n v="22.2"/>
    <n v="1.4446541289776771E-3"/>
    <n v="1"/>
    <m/>
    <x v="0"/>
  </r>
  <r>
    <x v="0"/>
    <x v="4"/>
    <x v="2"/>
    <s v="No envase"/>
    <s v="DOMÉSTICOS Metales no férricos Aluminio No envase"/>
    <x v="9"/>
    <n v="1"/>
    <n v="24.2"/>
    <m/>
    <m/>
    <m/>
    <m/>
    <n v="23.2"/>
    <n v="1.5097286392919869E-3"/>
    <n v="1"/>
    <m/>
    <x v="1"/>
  </r>
  <r>
    <x v="0"/>
    <x v="5"/>
    <x v="0"/>
    <s v="Envase"/>
    <s v="DOMÉSTICOS Madera  Envase"/>
    <x v="10"/>
    <n v="1"/>
    <n v="25.2"/>
    <m/>
    <m/>
    <m/>
    <m/>
    <n v="24.2"/>
    <n v="1.5748031496062968E-3"/>
    <n v="1"/>
    <m/>
    <x v="0"/>
  </r>
  <r>
    <x v="0"/>
    <x v="5"/>
    <x v="0"/>
    <s v="No envase"/>
    <s v="DOMÉSTICOS Madera  No envase"/>
    <x v="11"/>
    <n v="1"/>
    <n v="26.2"/>
    <m/>
    <m/>
    <m/>
    <m/>
    <n v="25.2"/>
    <n v="1.6398776599206065E-3"/>
    <n v="1"/>
    <m/>
    <x v="1"/>
  </r>
  <r>
    <x v="0"/>
    <x v="6"/>
    <x v="3"/>
    <s v="Envase"/>
    <s v="DOMÉSTICOS Plásticos (excepto SUP*) PET  Envase"/>
    <x v="12"/>
    <n v="1"/>
    <n v="27.2"/>
    <m/>
    <m/>
    <m/>
    <m/>
    <n v="26.2"/>
    <n v="1.7049521702349163E-3"/>
    <n v="1"/>
    <m/>
    <x v="0"/>
  </r>
  <r>
    <x v="0"/>
    <x v="6"/>
    <x v="3"/>
    <s v="No envase"/>
    <s v="DOMÉSTICOS Plásticos (excepto SUP*) PET  No envase"/>
    <x v="13"/>
    <n v="1"/>
    <n v="28.2"/>
    <m/>
    <m/>
    <m/>
    <m/>
    <n v="27.2"/>
    <n v="1.7700266805492262E-3"/>
    <n v="1"/>
    <m/>
    <x v="1"/>
  </r>
  <r>
    <x v="0"/>
    <x v="6"/>
    <x v="4"/>
    <s v="Envase"/>
    <s v="DOMÉSTICOS Plásticos (excepto SUP*) PEAD Envase"/>
    <x v="14"/>
    <n v="1"/>
    <n v="29.2"/>
    <m/>
    <m/>
    <m/>
    <m/>
    <n v="28.2"/>
    <n v="1.8351011908635359E-3"/>
    <n v="1"/>
    <m/>
    <x v="0"/>
  </r>
  <r>
    <x v="0"/>
    <x v="6"/>
    <x v="4"/>
    <s v="No envase"/>
    <s v="DOMÉSTICOS Plásticos (excepto SUP*) PEAD No envase"/>
    <x v="15"/>
    <n v="1"/>
    <n v="30.2"/>
    <m/>
    <m/>
    <m/>
    <m/>
    <n v="29.2"/>
    <n v="1.9001757011778456E-3"/>
    <n v="1"/>
    <m/>
    <x v="1"/>
  </r>
  <r>
    <x v="0"/>
    <x v="6"/>
    <x v="5"/>
    <s v="Envase"/>
    <s v="DOMÉSTICOS Plásticos (excepto SUP*) PEBD Envase"/>
    <x v="16"/>
    <n v="1"/>
    <n v="31.2"/>
    <m/>
    <m/>
    <m/>
    <m/>
    <n v="30.2"/>
    <n v="1.9652502114921554E-3"/>
    <n v="1"/>
    <m/>
    <x v="0"/>
  </r>
  <r>
    <x v="0"/>
    <x v="6"/>
    <x v="5"/>
    <s v="No envase"/>
    <s v="DOMÉSTICOS Plásticos (excepto SUP*) PEBD No envase"/>
    <x v="17"/>
    <n v="1"/>
    <n v="32.200000000000003"/>
    <m/>
    <m/>
    <m/>
    <m/>
    <n v="31.200000000000003"/>
    <n v="2.0303247218064653E-3"/>
    <n v="1"/>
    <m/>
    <x v="1"/>
  </r>
  <r>
    <x v="0"/>
    <x v="6"/>
    <x v="6"/>
    <s v="Envase"/>
    <s v="DOMÉSTICOS Plásticos (excepto SUP*) PVC Envase"/>
    <x v="18"/>
    <n v="1"/>
    <n v="33.200000000000003"/>
    <m/>
    <m/>
    <m/>
    <m/>
    <n v="32.200000000000003"/>
    <n v="2.0953992321207753E-3"/>
    <n v="1"/>
    <m/>
    <x v="0"/>
  </r>
  <r>
    <x v="0"/>
    <x v="6"/>
    <x v="6"/>
    <s v="No envase"/>
    <s v="DOMÉSTICOS Plásticos (excepto SUP*) PVC No envase"/>
    <x v="19"/>
    <n v="1"/>
    <n v="34.200000000000003"/>
    <m/>
    <m/>
    <m/>
    <m/>
    <n v="33.200000000000003"/>
    <n v="2.1604737424350852E-3"/>
    <n v="1"/>
    <m/>
    <x v="1"/>
  </r>
  <r>
    <x v="0"/>
    <x v="6"/>
    <x v="7"/>
    <s v="Envase"/>
    <s v="DOMÉSTICOS Plásticos (excepto SUP*) PP Envase"/>
    <x v="20"/>
    <n v="1"/>
    <n v="35.200000000000003"/>
    <m/>
    <m/>
    <m/>
    <m/>
    <n v="34.200000000000003"/>
    <n v="2.2255482527493947E-3"/>
    <n v="1"/>
    <m/>
    <x v="0"/>
  </r>
  <r>
    <x v="0"/>
    <x v="6"/>
    <x v="7"/>
    <s v="No envase"/>
    <s v="DOMÉSTICOS Plásticos (excepto SUP*) PP No envase"/>
    <x v="21"/>
    <n v="1"/>
    <n v="36.200000000000003"/>
    <m/>
    <m/>
    <m/>
    <m/>
    <n v="35.200000000000003"/>
    <n v="2.2906227630637046E-3"/>
    <n v="1"/>
    <m/>
    <x v="1"/>
  </r>
  <r>
    <x v="0"/>
    <x v="6"/>
    <x v="8"/>
    <s v="Envase"/>
    <s v="DOMÉSTICOS Plásticos (excepto SUP*) PS (excepto EPS) Envase"/>
    <x v="22"/>
    <n v="1"/>
    <n v="37.200000000000003"/>
    <m/>
    <m/>
    <m/>
    <m/>
    <n v="36.200000000000003"/>
    <n v="2.3556972733780146E-3"/>
    <n v="1"/>
    <m/>
    <x v="0"/>
  </r>
  <r>
    <x v="0"/>
    <x v="6"/>
    <x v="8"/>
    <s v="No envase"/>
    <s v="DOMÉSTICOS Plásticos (excepto SUP*) PS (excepto EPS) No envase"/>
    <x v="23"/>
    <n v="1"/>
    <n v="38.200000000000003"/>
    <m/>
    <m/>
    <m/>
    <m/>
    <n v="37.200000000000003"/>
    <n v="2.4207717836923241E-3"/>
    <n v="1"/>
    <m/>
    <x v="1"/>
  </r>
  <r>
    <x v="0"/>
    <x v="6"/>
    <x v="9"/>
    <s v="Envase"/>
    <s v="DOMÉSTICOS Plásticos (excepto SUP*) EPS Envase"/>
    <x v="24"/>
    <n v="1"/>
    <n v="39.200000000000003"/>
    <m/>
    <m/>
    <m/>
    <m/>
    <n v="38.200000000000003"/>
    <n v="2.485846294006634E-3"/>
    <n v="1"/>
    <m/>
    <x v="0"/>
  </r>
  <r>
    <x v="0"/>
    <x v="6"/>
    <x v="9"/>
    <s v="No envase"/>
    <s v="DOMÉSTICOS Plásticos (excepto SUP*) EPS No envase"/>
    <x v="25"/>
    <n v="1"/>
    <n v="40.200000000000003"/>
    <m/>
    <m/>
    <m/>
    <m/>
    <n v="39.200000000000003"/>
    <n v="2.5509208043209435E-3"/>
    <n v="1"/>
    <m/>
    <x v="1"/>
  </r>
  <r>
    <x v="0"/>
    <x v="6"/>
    <x v="10"/>
    <s v="Envase"/>
    <s v="DOMÉSTICOS Plásticos (excepto SUP*) Otros Plásticos Envase"/>
    <x v="26"/>
    <n v="1"/>
    <n v="41.2"/>
    <m/>
    <m/>
    <m/>
    <m/>
    <n v="40.200000000000003"/>
    <n v="2.6159953146352535E-3"/>
    <n v="1"/>
    <m/>
    <x v="0"/>
  </r>
  <r>
    <x v="0"/>
    <x v="6"/>
    <x v="10"/>
    <s v="No envase"/>
    <s v="DOMÉSTICOS Plásticos (excepto SUP*) Otros Plásticos No envase"/>
    <x v="27"/>
    <n v="1"/>
    <n v="42.2"/>
    <m/>
    <m/>
    <m/>
    <m/>
    <n v="41.2"/>
    <n v="2.6810698249495634E-3"/>
    <n v="1"/>
    <m/>
    <x v="1"/>
  </r>
  <r>
    <x v="0"/>
    <x v="7"/>
    <x v="11"/>
    <m/>
    <s v="DOMÉSTICOS * Plásticos de un solo uso (SUP) [iii] Botellas para bebidas de hasta tres litros de capacidad, incluidos sus tapas y tapones "/>
    <x v="28"/>
    <n v="1"/>
    <n v="43.2"/>
    <m/>
    <m/>
    <m/>
    <m/>
    <n v="42.2"/>
    <n v="2.7461443352638729E-3"/>
    <n v="1"/>
    <m/>
    <x v="0"/>
  </r>
  <r>
    <x v="0"/>
    <x v="7"/>
    <x v="12"/>
    <m/>
    <s v="DOMÉSTICOS * Plásticos de un solo uso (SUP) [iii] Productos de tabaco con filtro y fitros comercializados para utilizarse en combinación con productos del tabaco "/>
    <x v="29"/>
    <n v="1"/>
    <n v="44.2"/>
    <m/>
    <m/>
    <m/>
    <m/>
    <n v="43.2"/>
    <n v="2.8112188455781829E-3"/>
    <n v="1"/>
    <m/>
    <x v="1"/>
  </r>
  <r>
    <x v="0"/>
    <x v="7"/>
    <x v="13"/>
    <m/>
    <s v="DOMÉSTICOS * Plásticos de un solo uso (SUP) [iii] Recipientes para alimentos "/>
    <x v="30"/>
    <n v="1"/>
    <n v="45.2"/>
    <m/>
    <m/>
    <m/>
    <m/>
    <n v="44.2"/>
    <n v="2.8762933558924928E-3"/>
    <n v="1"/>
    <m/>
    <x v="0"/>
  </r>
  <r>
    <x v="0"/>
    <x v="7"/>
    <x v="14"/>
    <m/>
    <s v="DOMÉSTICOS * Plásticos de un solo uso (SUP) [iii] Vasos para bebidas (incluidas sus tapas y tapones) "/>
    <x v="31"/>
    <n v="1"/>
    <n v="46.2"/>
    <m/>
    <m/>
    <m/>
    <m/>
    <n v="45.2"/>
    <n v="2.9413678662068023E-3"/>
    <n v="1"/>
    <m/>
    <x v="0"/>
  </r>
  <r>
    <x v="0"/>
    <x v="7"/>
    <x v="15"/>
    <m/>
    <s v="DOMÉSTICOS * Plásticos de un solo uso (SUP) [iii] Otros "/>
    <x v="32"/>
    <n v="1"/>
    <n v="47.2"/>
    <m/>
    <m/>
    <m/>
    <m/>
    <n v="46.2"/>
    <n v="3.0064423765211123E-3"/>
    <n v="1"/>
    <m/>
    <x v="0"/>
  </r>
  <r>
    <x v="0"/>
    <x v="8"/>
    <x v="16"/>
    <m/>
    <s v="DOMÉSTICOS Biorresiduos Restos de alimentos no cocinados y restos derivados de la preparación de alimentos "/>
    <x v="33"/>
    <n v="1"/>
    <n v="48.2"/>
    <m/>
    <m/>
    <m/>
    <m/>
    <n v="47.2"/>
    <n v="3.0715168868354222E-3"/>
    <n v="1"/>
    <m/>
    <x v="0"/>
  </r>
  <r>
    <x v="0"/>
    <x v="8"/>
    <x v="17"/>
    <m/>
    <s v="DOMÉSTICOS Biorresiduos Restos de alimentos cocinados "/>
    <x v="34"/>
    <n v="1"/>
    <n v="49.2"/>
    <m/>
    <m/>
    <m/>
    <m/>
    <n v="48.2"/>
    <n v="3.1365913971497317E-3"/>
    <n v="1"/>
    <m/>
    <x v="0"/>
  </r>
  <r>
    <x v="0"/>
    <x v="8"/>
    <x v="18"/>
    <m/>
    <s v="DOMÉSTICOS Biorresiduos Celulosas: Papel de cocina, servilletas "/>
    <x v="35"/>
    <n v="1"/>
    <n v="50.2"/>
    <m/>
    <m/>
    <m/>
    <m/>
    <n v="49.2"/>
    <n v="3.2016659074640417E-3"/>
    <n v="1"/>
    <m/>
    <x v="0"/>
  </r>
  <r>
    <x v="0"/>
    <x v="8"/>
    <x v="19"/>
    <m/>
    <s v="DOMÉSTICOS Biorresiduos Otros restos de cocina compostables: bolsas, corchos, palillos de madera y otros resto compostables (vasos de papel, etc.) "/>
    <x v="36"/>
    <n v="1"/>
    <n v="51.2"/>
    <m/>
    <m/>
    <m/>
    <m/>
    <n v="50.2"/>
    <n v="3.2667404177783516E-3"/>
    <n v="1"/>
    <m/>
    <x v="0"/>
  </r>
  <r>
    <x v="0"/>
    <x v="8"/>
    <x v="20"/>
    <m/>
    <s v="DOMÉSTICOS Biorresiduos Derroche alimentario: alimentos caducados y en mal estado (a granel o en envases abiertos, el envase se separará en su fracción) "/>
    <x v="37"/>
    <n v="1"/>
    <n v="52.2"/>
    <m/>
    <m/>
    <m/>
    <m/>
    <n v="51.2"/>
    <n v="3.3318149280926611E-3"/>
    <n v="1"/>
    <m/>
    <x v="0"/>
  </r>
  <r>
    <x v="0"/>
    <x v="8"/>
    <x v="21"/>
    <m/>
    <s v="DOMÉSTICOS Biorresiduos Restos vegetales (césped, hojas, flores, etc.) "/>
    <x v="38"/>
    <n v="1"/>
    <n v="53.2"/>
    <m/>
    <m/>
    <m/>
    <m/>
    <n v="52.2"/>
    <n v="3.396889438406971E-3"/>
    <n v="1"/>
    <m/>
    <x v="0"/>
  </r>
  <r>
    <x v="0"/>
    <x v="8"/>
    <x v="22"/>
    <m/>
    <s v="DOMÉSTICOS Biorresiduos Restos de poda (ramas, arbustos, etc.) "/>
    <x v="39"/>
    <n v="1"/>
    <n v="54.2"/>
    <m/>
    <m/>
    <m/>
    <m/>
    <n v="53.2"/>
    <n v="3.4619639487212805E-3"/>
    <n v="1"/>
    <m/>
    <x v="0"/>
  </r>
  <r>
    <x v="0"/>
    <x v="9"/>
    <x v="23"/>
    <m/>
    <s v="DOMÉSTICOS ACEITE Aceite de cocina usados (contenidos en envases) "/>
    <x v="40"/>
    <n v="1"/>
    <n v="55.2"/>
    <m/>
    <m/>
    <m/>
    <m/>
    <n v="54.2"/>
    <n v="3.5270384590355905E-3"/>
    <n v="1"/>
    <m/>
    <x v="0"/>
  </r>
  <r>
    <x v="0"/>
    <x v="10"/>
    <x v="24"/>
    <m/>
    <s v="DOMÉSTICOS RAEE [iv] RAEE  "/>
    <x v="41"/>
    <n v="1"/>
    <n v="56.2"/>
    <m/>
    <m/>
    <m/>
    <m/>
    <n v="55.2"/>
    <n v="3.5921129693499004E-3"/>
    <n v="1"/>
    <m/>
    <x v="0"/>
  </r>
  <r>
    <x v="0"/>
    <x v="11"/>
    <x v="25"/>
    <m/>
    <s v="DOMÉSTICOS Baterias Pilas y Acumuladores "/>
    <x v="42"/>
    <n v="1"/>
    <n v="57.2"/>
    <m/>
    <m/>
    <m/>
    <m/>
    <n v="56.2"/>
    <n v="3.6571874796642099E-3"/>
    <n v="1"/>
    <m/>
    <x v="0"/>
  </r>
  <r>
    <x v="0"/>
    <x v="11"/>
    <x v="26"/>
    <m/>
    <s v="DOMÉSTICOS Baterias Baterías de Vehículos "/>
    <x v="43"/>
    <n v="1"/>
    <n v="58.2"/>
    <m/>
    <m/>
    <m/>
    <m/>
    <n v="57.2"/>
    <n v="3.7222619899785199E-3"/>
    <n v="1"/>
    <m/>
    <x v="0"/>
  </r>
  <r>
    <x v="0"/>
    <x v="12"/>
    <x v="27"/>
    <m/>
    <s v="DOMÉSTICOS Textiles Textiles y piel "/>
    <x v="44"/>
    <n v="1"/>
    <n v="59.2"/>
    <m/>
    <m/>
    <m/>
    <m/>
    <n v="58.2"/>
    <n v="3.7873365002928298E-3"/>
    <n v="1"/>
    <m/>
    <x v="0"/>
  </r>
  <r>
    <x v="0"/>
    <x v="13"/>
    <x v="28"/>
    <m/>
    <s v="DOMÉSTICOS Textiles sanitarios Textiles y celulósicos sanitarios "/>
    <x v="45"/>
    <n v="1"/>
    <n v="60.2"/>
    <m/>
    <m/>
    <m/>
    <m/>
    <n v="59.2"/>
    <n v="3.8524110106071393E-3"/>
    <n v="1"/>
    <m/>
    <x v="1"/>
  </r>
  <r>
    <x v="0"/>
    <x v="14"/>
    <x v="29"/>
    <m/>
    <s v="DOMÉSTICOS Tierras y RCDs Tierras y Escombros "/>
    <x v="46"/>
    <n v="1"/>
    <n v="61.2"/>
    <m/>
    <m/>
    <m/>
    <m/>
    <n v="60.2"/>
    <n v="3.9174855209214493E-3"/>
    <n v="1"/>
    <m/>
    <x v="0"/>
  </r>
  <r>
    <x v="0"/>
    <x v="14"/>
    <x v="30"/>
    <m/>
    <s v="DOMÉSTICOS Tierras y RCDs Restos de obras menores "/>
    <x v="47"/>
    <n v="1"/>
    <n v="62.2"/>
    <m/>
    <m/>
    <m/>
    <m/>
    <n v="61.2"/>
    <n v="3.9825600312357592E-3"/>
    <n v="1"/>
    <m/>
    <x v="0"/>
  </r>
  <r>
    <x v="0"/>
    <x v="15"/>
    <x v="31"/>
    <m/>
    <s v="DOMÉSTICOS Otros Inclasificables mayores de 50 mm "/>
    <x v="48"/>
    <n v="1"/>
    <n v="63.2"/>
    <m/>
    <m/>
    <m/>
    <m/>
    <n v="62.2"/>
    <n v="4.0476345415500692E-3"/>
    <n v="1"/>
    <m/>
    <x v="1"/>
  </r>
  <r>
    <x v="0"/>
    <x v="15"/>
    <x v="32"/>
    <m/>
    <s v="DOMÉSTICOS Otros Finos &lt; 50 mm (si &gt; 2kg*, se hará una analitica en laboratorio) "/>
    <x v="49"/>
    <n v="1"/>
    <n v="64.2"/>
    <m/>
    <m/>
    <m/>
    <m/>
    <n v="63.2"/>
    <n v="4.1127090518643782E-3"/>
    <n v="1"/>
    <m/>
    <x v="1"/>
  </r>
  <r>
    <x v="0"/>
    <x v="15"/>
    <x v="33"/>
    <m/>
    <s v="DOMÉSTICOS Otros Cantidad de Producto en Envases (Sólido) "/>
    <x v="50"/>
    <n v="1"/>
    <n v="65.2"/>
    <m/>
    <m/>
    <m/>
    <m/>
    <n v="64.2"/>
    <n v="4.1777835621786882E-3"/>
    <n v="1"/>
    <m/>
    <x v="1"/>
  </r>
  <r>
    <x v="0"/>
    <x v="15"/>
    <x v="34"/>
    <m/>
    <s v="DOMÉSTICOS Otros Cantidad de Producto en Envases (líquido-no aceite) "/>
    <x v="51"/>
    <n v="1"/>
    <n v="66.2"/>
    <m/>
    <m/>
    <m/>
    <m/>
    <n v="65.2"/>
    <n v="4.2428580724929981E-3"/>
    <n v="1"/>
    <m/>
    <x v="1"/>
  </r>
  <r>
    <x v="0"/>
    <x v="15"/>
    <x v="35"/>
    <m/>
    <s v="DOMÉSTICOS Otros Caucho "/>
    <x v="52"/>
    <n v="1"/>
    <n v="67.2"/>
    <m/>
    <m/>
    <m/>
    <m/>
    <n v="66.2"/>
    <n v="4.3079325828073081E-3"/>
    <n v="1"/>
    <m/>
    <x v="1"/>
  </r>
  <r>
    <x v="0"/>
    <x v="15"/>
    <x v="36"/>
    <m/>
    <s v="DOMÉSTICOS Otros Otros otros  (cuerdas multimaterial…) "/>
    <x v="53"/>
    <n v="1"/>
    <n v="68.2"/>
    <m/>
    <m/>
    <m/>
    <m/>
    <n v="67.2"/>
    <n v="4.373007093121618E-3"/>
    <n v="1"/>
    <m/>
    <x v="1"/>
  </r>
  <r>
    <x v="1"/>
    <x v="0"/>
    <x v="0"/>
    <s v="Papel y Cartón envase (Con Pto. Verde)"/>
    <s v="COMERCIALES Papel – cartón  Papel y Cartón envase (Con Pto. Verde)"/>
    <x v="54"/>
    <n v="1"/>
    <n v="69.2"/>
    <m/>
    <m/>
    <m/>
    <m/>
    <n v="68.2"/>
    <n v="4.4380816034359279E-3"/>
    <n v="1"/>
    <m/>
    <x v="0"/>
  </r>
  <r>
    <x v="1"/>
    <x v="0"/>
    <x v="0"/>
    <s v="Papel y Cartón envase (Sin Pto. Verde)"/>
    <s v="COMERCIALES Papel – cartón  Papel y Cartón envase (Sin Pto. Verde)"/>
    <x v="55"/>
    <n v="1"/>
    <n v="70.2"/>
    <m/>
    <m/>
    <m/>
    <m/>
    <n v="69.2"/>
    <n v="4.503156113750237E-3"/>
    <n v="1"/>
    <m/>
    <x v="0"/>
  </r>
  <r>
    <x v="1"/>
    <x v="0"/>
    <x v="0"/>
    <s v="Papel/Cartón No Envase"/>
    <s v="COMERCIALES Papel – cartón  Papel/Cartón No Envase"/>
    <x v="56"/>
    <n v="1"/>
    <n v="71.2"/>
    <m/>
    <m/>
    <m/>
    <m/>
    <n v="70.2"/>
    <n v="4.5682306240645469E-3"/>
    <n v="1"/>
    <m/>
    <x v="0"/>
  </r>
  <r>
    <x v="1"/>
    <x v="1"/>
    <x v="0"/>
    <s v="Envase"/>
    <s v="COMERCIALES Brik  Envase"/>
    <x v="57"/>
    <n v="1"/>
    <n v="72.2"/>
    <m/>
    <m/>
    <m/>
    <m/>
    <n v="71.2"/>
    <n v="4.6333051343788569E-3"/>
    <n v="1"/>
    <m/>
    <x v="0"/>
  </r>
  <r>
    <x v="1"/>
    <x v="2"/>
    <x v="0"/>
    <s v="Envase"/>
    <s v="COMERCIALES Vidrio   Envase"/>
    <x v="58"/>
    <n v="1"/>
    <n v="73.2"/>
    <m/>
    <m/>
    <m/>
    <m/>
    <n v="72.2"/>
    <n v="4.6983796446931668E-3"/>
    <n v="1"/>
    <m/>
    <x v="0"/>
  </r>
  <r>
    <x v="1"/>
    <x v="2"/>
    <x v="0"/>
    <s v="No envase"/>
    <s v="COMERCIALES Vidrio   No envase"/>
    <x v="59"/>
    <n v="1"/>
    <n v="74.2"/>
    <m/>
    <m/>
    <m/>
    <m/>
    <n v="73.2"/>
    <n v="4.7634541550074768E-3"/>
    <n v="1"/>
    <m/>
    <x v="0"/>
  </r>
  <r>
    <x v="1"/>
    <x v="3"/>
    <x v="1"/>
    <s v="Envase"/>
    <s v="COMERCIALES Metales férricos Acero Envase"/>
    <x v="60"/>
    <n v="1"/>
    <n v="75.2"/>
    <m/>
    <m/>
    <m/>
    <m/>
    <n v="74.2"/>
    <n v="4.8285286653217858E-3"/>
    <n v="1"/>
    <m/>
    <x v="0"/>
  </r>
  <r>
    <x v="1"/>
    <x v="3"/>
    <x v="1"/>
    <s v="No envase"/>
    <s v="COMERCIALES Metales férricos Acero No envase"/>
    <x v="61"/>
    <n v="1"/>
    <n v="76.2"/>
    <m/>
    <m/>
    <m/>
    <m/>
    <n v="75.2"/>
    <n v="4.8936031756360958E-3"/>
    <n v="1"/>
    <m/>
    <x v="1"/>
  </r>
  <r>
    <x v="1"/>
    <x v="4"/>
    <x v="2"/>
    <s v="Envase"/>
    <s v="COMERCIALES Metales no férricos Aluminio Envase"/>
    <x v="62"/>
    <n v="1"/>
    <n v="77.2"/>
    <m/>
    <m/>
    <m/>
    <m/>
    <n v="76.2"/>
    <n v="4.9586776859504057E-3"/>
    <n v="1"/>
    <m/>
    <x v="0"/>
  </r>
  <r>
    <x v="1"/>
    <x v="4"/>
    <x v="2"/>
    <s v="No envase"/>
    <s v="COMERCIALES Metales no férricos Aluminio No envase"/>
    <x v="63"/>
    <n v="1"/>
    <n v="78.2"/>
    <m/>
    <m/>
    <m/>
    <m/>
    <n v="77.2"/>
    <n v="5.0237521962647157E-3"/>
    <n v="1"/>
    <m/>
    <x v="1"/>
  </r>
  <r>
    <x v="1"/>
    <x v="5"/>
    <x v="0"/>
    <s v="Envase"/>
    <s v="COMERCIALES Madera  Envase"/>
    <x v="64"/>
    <n v="1"/>
    <n v="79.2"/>
    <m/>
    <m/>
    <m/>
    <m/>
    <n v="78.2"/>
    <n v="5.0888267065790256E-3"/>
    <n v="1"/>
    <m/>
    <x v="0"/>
  </r>
  <r>
    <x v="1"/>
    <x v="5"/>
    <x v="0"/>
    <s v="No envase"/>
    <s v="COMERCIALES Madera  No envase"/>
    <x v="65"/>
    <n v="1"/>
    <n v="80.2"/>
    <m/>
    <m/>
    <m/>
    <m/>
    <n v="79.2"/>
    <n v="5.1539012168933356E-3"/>
    <n v="1"/>
    <m/>
    <x v="1"/>
  </r>
  <r>
    <x v="1"/>
    <x v="6"/>
    <x v="3"/>
    <s v="Envase"/>
    <s v="COMERCIALES Plásticos (excepto SUP*) PET  Envase"/>
    <x v="66"/>
    <n v="1"/>
    <n v="81.2"/>
    <m/>
    <m/>
    <m/>
    <m/>
    <n v="80.2"/>
    <n v="5.2189757272076446E-3"/>
    <n v="1"/>
    <m/>
    <x v="0"/>
  </r>
  <r>
    <x v="1"/>
    <x v="6"/>
    <x v="3"/>
    <s v="No envase"/>
    <s v="COMERCIALES Plásticos (excepto SUP*) PET  No envase"/>
    <x v="67"/>
    <n v="1"/>
    <n v="82.2"/>
    <m/>
    <m/>
    <m/>
    <m/>
    <n v="81.2"/>
    <n v="5.2840502375219546E-3"/>
    <n v="1"/>
    <m/>
    <x v="1"/>
  </r>
  <r>
    <x v="1"/>
    <x v="6"/>
    <x v="4"/>
    <s v="Envase"/>
    <s v="COMERCIALES Plásticos (excepto SUP*) PEAD Envase"/>
    <x v="68"/>
    <n v="1"/>
    <n v="83.2"/>
    <m/>
    <m/>
    <m/>
    <m/>
    <n v="82.2"/>
    <n v="5.3491247478362645E-3"/>
    <n v="1"/>
    <m/>
    <x v="0"/>
  </r>
  <r>
    <x v="1"/>
    <x v="6"/>
    <x v="4"/>
    <s v="No envase"/>
    <s v="COMERCIALES Plásticos (excepto SUP*) PEAD No envase"/>
    <x v="69"/>
    <n v="1"/>
    <n v="84.2"/>
    <m/>
    <m/>
    <m/>
    <m/>
    <n v="83.2"/>
    <n v="5.4141992581505744E-3"/>
    <n v="1"/>
    <m/>
    <x v="1"/>
  </r>
  <r>
    <x v="1"/>
    <x v="6"/>
    <x v="5"/>
    <s v="Envase"/>
    <s v="COMERCIALES Plásticos (excepto SUP*) PEBD Envase"/>
    <x v="70"/>
    <n v="1"/>
    <n v="85.2"/>
    <m/>
    <m/>
    <m/>
    <m/>
    <n v="84.2"/>
    <n v="5.4792737684648844E-3"/>
    <n v="1"/>
    <m/>
    <x v="0"/>
  </r>
  <r>
    <x v="1"/>
    <x v="6"/>
    <x v="5"/>
    <s v="No envase"/>
    <s v="COMERCIALES Plásticos (excepto SUP*) PEBD No envase"/>
    <x v="71"/>
    <n v="1"/>
    <n v="86.2"/>
    <m/>
    <m/>
    <m/>
    <m/>
    <n v="85.2"/>
    <n v="5.5443482787791935E-3"/>
    <n v="1"/>
    <m/>
    <x v="1"/>
  </r>
  <r>
    <x v="1"/>
    <x v="6"/>
    <x v="6"/>
    <s v="Envase"/>
    <s v="COMERCIALES Plásticos (excepto SUP*) PVC Envase"/>
    <x v="72"/>
    <n v="1"/>
    <n v="87.2"/>
    <m/>
    <m/>
    <m/>
    <m/>
    <n v="86.2"/>
    <n v="5.6094227890935034E-3"/>
    <n v="1"/>
    <m/>
    <x v="0"/>
  </r>
  <r>
    <x v="1"/>
    <x v="6"/>
    <x v="6"/>
    <s v="No envase"/>
    <s v="COMERCIALES Plásticos (excepto SUP*) PVC No envase"/>
    <x v="73"/>
    <n v="1"/>
    <n v="88.2"/>
    <m/>
    <m/>
    <m/>
    <m/>
    <n v="87.2"/>
    <n v="5.6744972994078133E-3"/>
    <n v="1"/>
    <m/>
    <x v="1"/>
  </r>
  <r>
    <x v="1"/>
    <x v="6"/>
    <x v="7"/>
    <s v="Envase"/>
    <s v="COMERCIALES Plásticos (excepto SUP*) PP Envase"/>
    <x v="74"/>
    <n v="1"/>
    <n v="89.2"/>
    <m/>
    <m/>
    <m/>
    <m/>
    <n v="88.2"/>
    <n v="5.7395718097221233E-3"/>
    <n v="1"/>
    <m/>
    <x v="0"/>
  </r>
  <r>
    <x v="1"/>
    <x v="6"/>
    <x v="7"/>
    <s v="No envase"/>
    <s v="COMERCIALES Plásticos (excepto SUP*) PP No envase"/>
    <x v="75"/>
    <n v="1"/>
    <n v="90.2"/>
    <m/>
    <m/>
    <m/>
    <m/>
    <n v="89.2"/>
    <n v="5.8046463200364332E-3"/>
    <n v="1"/>
    <m/>
    <x v="1"/>
  </r>
  <r>
    <x v="1"/>
    <x v="6"/>
    <x v="8"/>
    <s v="Envase"/>
    <s v="COMERCIALES Plásticos (excepto SUP*) PS (excepto EPS) Envase"/>
    <x v="76"/>
    <n v="1"/>
    <n v="91.2"/>
    <m/>
    <m/>
    <m/>
    <m/>
    <n v="90.2"/>
    <n v="5.8697208303507432E-3"/>
    <n v="1"/>
    <m/>
    <x v="0"/>
  </r>
  <r>
    <x v="1"/>
    <x v="6"/>
    <x v="8"/>
    <s v="No envase"/>
    <s v="COMERCIALES Plásticos (excepto SUP*) PS (excepto EPS) No envase"/>
    <x v="77"/>
    <n v="1"/>
    <n v="92.2"/>
    <m/>
    <m/>
    <m/>
    <m/>
    <n v="91.2"/>
    <n v="5.9347953406650522E-3"/>
    <n v="1"/>
    <m/>
    <x v="1"/>
  </r>
  <r>
    <x v="1"/>
    <x v="6"/>
    <x v="9"/>
    <s v="Envase"/>
    <s v="COMERCIALES Plásticos (excepto SUP*) EPS Envase"/>
    <x v="78"/>
    <n v="1"/>
    <n v="93.2"/>
    <m/>
    <m/>
    <m/>
    <m/>
    <n v="92.2"/>
    <n v="5.9998698509793622E-3"/>
    <n v="1"/>
    <m/>
    <x v="0"/>
  </r>
  <r>
    <x v="1"/>
    <x v="6"/>
    <x v="9"/>
    <s v="No envase"/>
    <s v="COMERCIALES Plásticos (excepto SUP*) EPS No envase"/>
    <x v="79"/>
    <n v="1"/>
    <n v="94.2"/>
    <m/>
    <m/>
    <m/>
    <m/>
    <n v="93.2"/>
    <n v="6.0649443612936721E-3"/>
    <n v="1"/>
    <m/>
    <x v="1"/>
  </r>
  <r>
    <x v="1"/>
    <x v="6"/>
    <x v="10"/>
    <s v="Envase"/>
    <s v="COMERCIALES Plásticos (excepto SUP*) Otros Plásticos Envase"/>
    <x v="80"/>
    <n v="1"/>
    <n v="95.2"/>
    <m/>
    <m/>
    <m/>
    <m/>
    <n v="94.2"/>
    <n v="6.1300188716079821E-3"/>
    <n v="1"/>
    <m/>
    <x v="0"/>
  </r>
  <r>
    <x v="1"/>
    <x v="6"/>
    <x v="10"/>
    <s v="No envase"/>
    <s v="COMERCIALES Plásticos (excepto SUP*) Otros Plásticos No envase"/>
    <x v="81"/>
    <n v="1"/>
    <n v="96.2"/>
    <m/>
    <m/>
    <m/>
    <m/>
    <n v="95.2"/>
    <n v="6.195093381922292E-3"/>
    <n v="1"/>
    <m/>
    <x v="1"/>
  </r>
  <r>
    <x v="1"/>
    <x v="7"/>
    <x v="11"/>
    <m/>
    <s v="COMERCIALES * Plásticos de un solo uso (SUP) [iii] Botellas para bebidas de hasta tres litros de capacidad, incluidos sus tapas y tapones "/>
    <x v="82"/>
    <n v="1"/>
    <n v="97.2"/>
    <m/>
    <m/>
    <m/>
    <m/>
    <n v="96.2"/>
    <n v="6.2601678922366011E-3"/>
    <n v="1"/>
    <m/>
    <x v="0"/>
  </r>
  <r>
    <x v="1"/>
    <x v="7"/>
    <x v="12"/>
    <m/>
    <s v="COMERCIALES * Plásticos de un solo uso (SUP) [iii] Productos de tabaco con filtro y fitros comercializados para utilizarse en combinación con productos del tabaco "/>
    <x v="83"/>
    <n v="1"/>
    <n v="98.2"/>
    <m/>
    <m/>
    <m/>
    <m/>
    <n v="97.2"/>
    <n v="6.325242402550911E-3"/>
    <n v="1"/>
    <m/>
    <x v="1"/>
  </r>
  <r>
    <x v="1"/>
    <x v="7"/>
    <x v="13"/>
    <m/>
    <s v="COMERCIALES * Plásticos de un solo uso (SUP) [iii] Recipientes para alimentos "/>
    <x v="84"/>
    <n v="1"/>
    <n v="99.2"/>
    <m/>
    <m/>
    <m/>
    <m/>
    <n v="98.2"/>
    <n v="6.390316912865221E-3"/>
    <n v="1"/>
    <m/>
    <x v="0"/>
  </r>
  <r>
    <x v="1"/>
    <x v="7"/>
    <x v="14"/>
    <m/>
    <s v="COMERCIALES * Plásticos de un solo uso (SUP) [iii] Vasos para bebidas (incluidas sus tapas y tapones) "/>
    <x v="85"/>
    <n v="1"/>
    <n v="100.2"/>
    <m/>
    <m/>
    <m/>
    <m/>
    <n v="99.2"/>
    <n v="6.4553914231795309E-3"/>
    <n v="1"/>
    <m/>
    <x v="0"/>
  </r>
  <r>
    <x v="1"/>
    <x v="7"/>
    <x v="15"/>
    <m/>
    <s v="COMERCIALES * Plásticos de un solo uso (SUP) [iii] Otros "/>
    <x v="86"/>
    <n v="1"/>
    <n v="101.2"/>
    <m/>
    <m/>
    <m/>
    <m/>
    <n v="100.2"/>
    <n v="6.5204659334938408E-3"/>
    <n v="1"/>
    <m/>
    <x v="0"/>
  </r>
  <r>
    <x v="1"/>
    <x v="8"/>
    <x v="16"/>
    <m/>
    <s v="COMERCIALES Biorresiduos Restos de alimentos no cocinados y restos derivados de la preparación de alimentos "/>
    <x v="87"/>
    <n v="1"/>
    <n v="102.2"/>
    <m/>
    <m/>
    <m/>
    <m/>
    <n v="101.2"/>
    <n v="6.5855404438081508E-3"/>
    <n v="1"/>
    <m/>
    <x v="0"/>
  </r>
  <r>
    <x v="1"/>
    <x v="8"/>
    <x v="17"/>
    <m/>
    <s v="COMERCIALES Biorresiduos Restos de alimentos cocinados "/>
    <x v="88"/>
    <n v="1"/>
    <n v="103.2"/>
    <m/>
    <m/>
    <m/>
    <m/>
    <n v="102.2"/>
    <n v="6.6506149541224599E-3"/>
    <n v="1"/>
    <m/>
    <x v="0"/>
  </r>
  <r>
    <x v="1"/>
    <x v="8"/>
    <x v="18"/>
    <m/>
    <s v="COMERCIALES Biorresiduos Celulosas: Papel de cocina, servilletas "/>
    <x v="89"/>
    <n v="1"/>
    <n v="104.2"/>
    <m/>
    <m/>
    <m/>
    <m/>
    <n v="103.2"/>
    <n v="6.7156894644367698E-3"/>
    <n v="1"/>
    <m/>
    <x v="0"/>
  </r>
  <r>
    <x v="1"/>
    <x v="8"/>
    <x v="19"/>
    <m/>
    <s v="COMERCIALES Biorresiduos Otros restos de cocina compostables: bolsas, corchos, palillos de madera y otros resto compostables (vasos de papel, etc.) "/>
    <x v="90"/>
    <n v="1"/>
    <n v="105.2"/>
    <m/>
    <m/>
    <m/>
    <m/>
    <n v="104.2"/>
    <n v="6.7807639747510797E-3"/>
    <n v="1"/>
    <m/>
    <x v="0"/>
  </r>
  <r>
    <x v="1"/>
    <x v="8"/>
    <x v="20"/>
    <m/>
    <s v="COMERCIALES Biorresiduos Derroche alimentario: alimentos caducados y en mal estado (a granel o en envases abiertos, el envase se separará en su fracción) "/>
    <x v="91"/>
    <n v="1"/>
    <n v="106.2"/>
    <m/>
    <m/>
    <m/>
    <m/>
    <n v="105.2"/>
    <n v="6.8458384850653897E-3"/>
    <n v="1"/>
    <m/>
    <x v="0"/>
  </r>
  <r>
    <x v="1"/>
    <x v="8"/>
    <x v="21"/>
    <m/>
    <s v="COMERCIALES Biorresiduos Restos vegetales (césped, hojas, flores, etc.) "/>
    <x v="92"/>
    <n v="1"/>
    <n v="107.2"/>
    <m/>
    <m/>
    <m/>
    <m/>
    <n v="106.2"/>
    <n v="6.9109129953796996E-3"/>
    <n v="1"/>
    <m/>
    <x v="0"/>
  </r>
  <r>
    <x v="1"/>
    <x v="8"/>
    <x v="22"/>
    <m/>
    <s v="COMERCIALES Biorresiduos Restos de poda (ramas, arbustos, etc.) "/>
    <x v="93"/>
    <n v="1"/>
    <n v="108.2"/>
    <m/>
    <m/>
    <m/>
    <m/>
    <n v="107.2"/>
    <n v="6.9759875056940087E-3"/>
    <n v="1"/>
    <m/>
    <x v="0"/>
  </r>
  <r>
    <x v="1"/>
    <x v="9"/>
    <x v="23"/>
    <m/>
    <s v="COMERCIALES ACEITE Aceite de cocina usados (contenidos en envases) "/>
    <x v="94"/>
    <n v="1"/>
    <n v="109.2"/>
    <m/>
    <m/>
    <m/>
    <m/>
    <n v="108.2"/>
    <n v="7.0410620160083186E-3"/>
    <n v="1"/>
    <m/>
    <x v="0"/>
  </r>
  <r>
    <x v="1"/>
    <x v="10"/>
    <x v="24"/>
    <m/>
    <s v="COMERCIALES RAEE [iv] RAEE  "/>
    <x v="95"/>
    <n v="1"/>
    <n v="110.2"/>
    <m/>
    <m/>
    <m/>
    <m/>
    <n v="109.2"/>
    <n v="7.1061365263226286E-3"/>
    <n v="1"/>
    <m/>
    <x v="0"/>
  </r>
  <r>
    <x v="1"/>
    <x v="11"/>
    <x v="25"/>
    <m/>
    <s v="COMERCIALES Baterias Pilas y Acumuladores "/>
    <x v="96"/>
    <n v="1"/>
    <n v="111.2"/>
    <m/>
    <m/>
    <m/>
    <m/>
    <n v="110.2"/>
    <n v="7.1712110366369385E-3"/>
    <n v="1"/>
    <m/>
    <x v="0"/>
  </r>
  <r>
    <x v="1"/>
    <x v="11"/>
    <x v="26"/>
    <m/>
    <s v="COMERCIALES Baterias Baterías de Vehículos "/>
    <x v="97"/>
    <n v="1"/>
    <n v="112.2"/>
    <m/>
    <m/>
    <m/>
    <m/>
    <n v="111.2"/>
    <n v="7.2362855469512485E-3"/>
    <n v="1"/>
    <m/>
    <x v="0"/>
  </r>
  <r>
    <x v="1"/>
    <x v="12"/>
    <x v="27"/>
    <m/>
    <s v="COMERCIALES Textiles Textiles y piel "/>
    <x v="98"/>
    <n v="1"/>
    <n v="113.2"/>
    <m/>
    <m/>
    <m/>
    <m/>
    <n v="112.2"/>
    <n v="7.3013600572655584E-3"/>
    <n v="1"/>
    <m/>
    <x v="0"/>
  </r>
  <r>
    <x v="1"/>
    <x v="13"/>
    <x v="28"/>
    <m/>
    <s v="COMERCIALES Textiles sanitarios Textiles y celulósicos sanitarios "/>
    <x v="99"/>
    <n v="1"/>
    <n v="114.2"/>
    <m/>
    <m/>
    <m/>
    <m/>
    <n v="113.2"/>
    <n v="7.3664345675798675E-3"/>
    <n v="1"/>
    <m/>
    <x v="1"/>
  </r>
  <r>
    <x v="1"/>
    <x v="14"/>
    <x v="29"/>
    <m/>
    <s v="COMERCIALES Tierras y RCDs Tierras y Escombros "/>
    <x v="100"/>
    <n v="1"/>
    <n v="115.2"/>
    <m/>
    <m/>
    <m/>
    <m/>
    <n v="114.2"/>
    <n v="7.4315090778941774E-3"/>
    <n v="1"/>
    <m/>
    <x v="0"/>
  </r>
  <r>
    <x v="1"/>
    <x v="14"/>
    <x v="30"/>
    <m/>
    <s v="COMERCIALES Tierras y RCDs Restos de obras menores "/>
    <x v="101"/>
    <n v="1"/>
    <n v="116.2"/>
    <m/>
    <m/>
    <m/>
    <m/>
    <n v="115.2"/>
    <n v="7.4965835882084874E-3"/>
    <n v="1"/>
    <m/>
    <x v="0"/>
  </r>
  <r>
    <x v="1"/>
    <x v="15"/>
    <x v="31"/>
    <m/>
    <s v="COMERCIALES Otros Inclasificables mayores de 50 mm "/>
    <x v="102"/>
    <n v="1"/>
    <n v="117.2"/>
    <m/>
    <m/>
    <m/>
    <m/>
    <n v="116.2"/>
    <n v="7.5616580985227973E-3"/>
    <n v="1"/>
    <m/>
    <x v="1"/>
  </r>
  <r>
    <x v="1"/>
    <x v="15"/>
    <x v="32"/>
    <m/>
    <s v="COMERCIALES Otros Finos &lt; 50 mm (si &gt; 2kg*, se hará una analitica en laboratorio) "/>
    <x v="103"/>
    <n v="1"/>
    <n v="118.2"/>
    <m/>
    <m/>
    <m/>
    <m/>
    <n v="117.2"/>
    <n v="7.6267326088371072E-3"/>
    <n v="1"/>
    <m/>
    <x v="1"/>
  </r>
  <r>
    <x v="1"/>
    <x v="15"/>
    <x v="33"/>
    <m/>
    <s v="COMERCIALES Otros Cantidad de Producto en Envases (Sólido) "/>
    <x v="104"/>
    <n v="1"/>
    <n v="119.2"/>
    <m/>
    <m/>
    <m/>
    <m/>
    <n v="118.2"/>
    <n v="7.6918071191514163E-3"/>
    <n v="1"/>
    <m/>
    <x v="1"/>
  </r>
  <r>
    <x v="1"/>
    <x v="15"/>
    <x v="34"/>
    <m/>
    <s v="COMERCIALES Otros Cantidad de Producto en Envases (líquido-no aceite) "/>
    <x v="105"/>
    <n v="1"/>
    <n v="120.2"/>
    <m/>
    <m/>
    <m/>
    <m/>
    <n v="119.2"/>
    <n v="7.7568816294657263E-3"/>
    <n v="1"/>
    <m/>
    <x v="1"/>
  </r>
  <r>
    <x v="1"/>
    <x v="15"/>
    <x v="35"/>
    <m/>
    <s v="COMERCIALES Otros Caucho "/>
    <x v="106"/>
    <n v="1"/>
    <n v="121.2"/>
    <m/>
    <m/>
    <m/>
    <m/>
    <n v="120.2"/>
    <n v="7.8219561397800362E-3"/>
    <n v="1"/>
    <m/>
    <x v="1"/>
  </r>
  <r>
    <x v="1"/>
    <x v="15"/>
    <x v="36"/>
    <m/>
    <s v="COMERCIALES Otros Otros otros  (cuerdas multimaterial…) "/>
    <x v="107"/>
    <n v="1"/>
    <n v="122.2"/>
    <m/>
    <m/>
    <m/>
    <m/>
    <n v="121.2"/>
    <n v="7.8870306500943461E-3"/>
    <n v="1"/>
    <m/>
    <x v="1"/>
  </r>
  <r>
    <x v="2"/>
    <x v="0"/>
    <x v="0"/>
    <s v="Papel y Cartón envase (Con Pto. Verde)"/>
    <s v="INDUSTRIALES / AGRICOLAS Papel – cartón  Papel y Cartón envase (Con Pto. Verde)"/>
    <x v="108"/>
    <n v="1"/>
    <n v="123.2"/>
    <m/>
    <m/>
    <m/>
    <m/>
    <n v="122.2"/>
    <n v="7.9521051604086561E-3"/>
    <n v="1"/>
    <m/>
    <x v="0"/>
  </r>
  <r>
    <x v="2"/>
    <x v="0"/>
    <x v="0"/>
    <s v="Papel y Cartón envase (Sin Pto. Verde)"/>
    <s v="INDUSTRIALES / AGRICOLAS Papel – cartón  Papel y Cartón envase (Sin Pto. Verde)"/>
    <x v="109"/>
    <n v="1"/>
    <n v="124.2"/>
    <m/>
    <m/>
    <m/>
    <m/>
    <n v="123.2"/>
    <n v="8.017179670722966E-3"/>
    <n v="1"/>
    <m/>
    <x v="0"/>
  </r>
  <r>
    <x v="2"/>
    <x v="0"/>
    <x v="0"/>
    <s v="Papel/Cartón No Envase"/>
    <s v="INDUSTRIALES / AGRICOLAS Papel – cartón  Papel/Cartón No Envase"/>
    <x v="110"/>
    <n v="1"/>
    <n v="125.2"/>
    <m/>
    <m/>
    <m/>
    <m/>
    <n v="124.2"/>
    <n v="8.082254181037276E-3"/>
    <n v="1"/>
    <m/>
    <x v="0"/>
  </r>
  <r>
    <x v="2"/>
    <x v="1"/>
    <x v="0"/>
    <s v="Envase"/>
    <s v="INDUSTRIALES / AGRICOLAS Brik  Envase"/>
    <x v="111"/>
    <n v="1"/>
    <n v="126.2"/>
    <m/>
    <m/>
    <m/>
    <m/>
    <n v="125.2"/>
    <n v="8.1473286913515859E-3"/>
    <n v="1"/>
    <m/>
    <x v="0"/>
  </r>
  <r>
    <x v="2"/>
    <x v="2"/>
    <x v="0"/>
    <s v="Envase"/>
    <s v="INDUSTRIALES / AGRICOLAS Vidrio   Envase"/>
    <x v="112"/>
    <n v="1"/>
    <n v="127.2"/>
    <m/>
    <m/>
    <m/>
    <m/>
    <n v="126.2"/>
    <n v="8.2124032016658959E-3"/>
    <n v="1"/>
    <m/>
    <x v="0"/>
  </r>
  <r>
    <x v="2"/>
    <x v="2"/>
    <x v="0"/>
    <s v="No envase"/>
    <s v="INDUSTRIALES / AGRICOLAS Vidrio   No envase"/>
    <x v="113"/>
    <n v="1"/>
    <n v="128.19999999999999"/>
    <m/>
    <m/>
    <m/>
    <m/>
    <n v="127.19999999999999"/>
    <n v="8.2774777119802041E-3"/>
    <n v="1"/>
    <m/>
    <x v="0"/>
  </r>
  <r>
    <x v="2"/>
    <x v="3"/>
    <x v="1"/>
    <s v="Envase"/>
    <s v="INDUSTRIALES / AGRICOLAS Metales férricos Acero Envase"/>
    <x v="114"/>
    <n v="1"/>
    <n v="129.19999999999999"/>
    <m/>
    <m/>
    <m/>
    <m/>
    <n v="128.19999999999999"/>
    <n v="8.342552222294514E-3"/>
    <n v="1"/>
    <m/>
    <x v="0"/>
  </r>
  <r>
    <x v="2"/>
    <x v="3"/>
    <x v="1"/>
    <s v="No envase"/>
    <s v="INDUSTRIALES / AGRICOLAS Metales férricos Acero No envase"/>
    <x v="115"/>
    <n v="1"/>
    <n v="130.19999999999999"/>
    <m/>
    <m/>
    <m/>
    <m/>
    <n v="129.19999999999999"/>
    <n v="8.4076267326088239E-3"/>
    <n v="1"/>
    <m/>
    <x v="1"/>
  </r>
  <r>
    <x v="2"/>
    <x v="4"/>
    <x v="2"/>
    <s v="Envase"/>
    <s v="INDUSTRIALES / AGRICOLAS Metales no férricos Aluminio Envase"/>
    <x v="116"/>
    <n v="1"/>
    <n v="131.19999999999999"/>
    <m/>
    <m/>
    <m/>
    <m/>
    <n v="130.19999999999999"/>
    <n v="8.4727012429231339E-3"/>
    <n v="1"/>
    <m/>
    <x v="0"/>
  </r>
  <r>
    <x v="2"/>
    <x v="4"/>
    <x v="2"/>
    <s v="No envase"/>
    <s v="INDUSTRIALES / AGRICOLAS Metales no férricos Aluminio No envase"/>
    <x v="117"/>
    <n v="1"/>
    <n v="132.19999999999999"/>
    <m/>
    <m/>
    <m/>
    <m/>
    <n v="131.19999999999999"/>
    <n v="8.5377757532374438E-3"/>
    <n v="1"/>
    <m/>
    <x v="1"/>
  </r>
  <r>
    <x v="2"/>
    <x v="5"/>
    <x v="0"/>
    <s v="Envase"/>
    <s v="INDUSTRIALES / AGRICOLAS Madera  Envase"/>
    <x v="118"/>
    <n v="1"/>
    <n v="133.19999999999999"/>
    <m/>
    <m/>
    <m/>
    <m/>
    <n v="132.19999999999999"/>
    <n v="8.602850263551752E-3"/>
    <n v="1"/>
    <m/>
    <x v="0"/>
  </r>
  <r>
    <x v="2"/>
    <x v="5"/>
    <x v="0"/>
    <s v="No envase"/>
    <s v="INDUSTRIALES / AGRICOLAS Madera  No envase"/>
    <x v="119"/>
    <n v="1"/>
    <n v="134.19999999999999"/>
    <m/>
    <m/>
    <m/>
    <m/>
    <n v="133.19999999999999"/>
    <n v="8.667924773866062E-3"/>
    <n v="1"/>
    <m/>
    <x v="1"/>
  </r>
  <r>
    <x v="2"/>
    <x v="6"/>
    <x v="3"/>
    <s v="Envase"/>
    <s v="INDUSTRIALES / AGRICOLAS Plásticos (excepto SUP*) PET  Envase"/>
    <x v="120"/>
    <n v="1"/>
    <n v="135.19999999999999"/>
    <m/>
    <m/>
    <m/>
    <m/>
    <n v="134.19999999999999"/>
    <n v="8.7329992841803719E-3"/>
    <n v="1"/>
    <m/>
    <x v="0"/>
  </r>
  <r>
    <x v="2"/>
    <x v="6"/>
    <x v="3"/>
    <s v="No envase"/>
    <s v="INDUSTRIALES / AGRICOLAS Plásticos (excepto SUP*) PET  No envase"/>
    <x v="121"/>
    <n v="1"/>
    <n v="136.19999999999999"/>
    <m/>
    <m/>
    <m/>
    <m/>
    <n v="135.19999999999999"/>
    <n v="8.7980737944946819E-3"/>
    <n v="1"/>
    <m/>
    <x v="1"/>
  </r>
  <r>
    <x v="2"/>
    <x v="6"/>
    <x v="4"/>
    <s v="Envase"/>
    <s v="INDUSTRIALES / AGRICOLAS Plásticos (excepto SUP*) PEAD Envase"/>
    <x v="122"/>
    <n v="1"/>
    <n v="137.19999999999999"/>
    <m/>
    <m/>
    <m/>
    <m/>
    <n v="136.19999999999999"/>
    <n v="8.8631483048089918E-3"/>
    <n v="1"/>
    <m/>
    <x v="0"/>
  </r>
  <r>
    <x v="2"/>
    <x v="6"/>
    <x v="4"/>
    <s v="No envase"/>
    <s v="INDUSTRIALES / AGRICOLAS Plásticos (excepto SUP*) PEAD No envase"/>
    <x v="123"/>
    <n v="1"/>
    <n v="138.19999999999999"/>
    <m/>
    <m/>
    <m/>
    <m/>
    <n v="137.19999999999999"/>
    <n v="8.9282228151233017E-3"/>
    <n v="1"/>
    <m/>
    <x v="1"/>
  </r>
  <r>
    <x v="2"/>
    <x v="6"/>
    <x v="5"/>
    <s v="Envase"/>
    <s v="INDUSTRIALES / AGRICOLAS Plásticos (excepto SUP*) PEBD Envase"/>
    <x v="124"/>
    <n v="1"/>
    <n v="139.19999999999999"/>
    <m/>
    <m/>
    <m/>
    <m/>
    <n v="138.19999999999999"/>
    <n v="8.9932973254376117E-3"/>
    <n v="1"/>
    <m/>
    <x v="0"/>
  </r>
  <r>
    <x v="2"/>
    <x v="6"/>
    <x v="5"/>
    <s v="No envase"/>
    <s v="INDUSTRIALES / AGRICOLAS Plásticos (excepto SUP*) PEBD No envase"/>
    <x v="125"/>
    <n v="1"/>
    <n v="140.19999999999999"/>
    <m/>
    <m/>
    <m/>
    <m/>
    <n v="139.19999999999999"/>
    <n v="9.0583718357519216E-3"/>
    <n v="1"/>
    <m/>
    <x v="1"/>
  </r>
  <r>
    <x v="2"/>
    <x v="6"/>
    <x v="6"/>
    <s v="Envase"/>
    <s v="INDUSTRIALES / AGRICOLAS Plásticos (excepto SUP*) PVC Envase"/>
    <x v="126"/>
    <n v="1"/>
    <n v="141.19999999999999"/>
    <m/>
    <m/>
    <m/>
    <m/>
    <n v="140.19999999999999"/>
    <n v="9.1234463460662316E-3"/>
    <n v="1"/>
    <m/>
    <x v="0"/>
  </r>
  <r>
    <x v="2"/>
    <x v="6"/>
    <x v="6"/>
    <s v="No envase"/>
    <s v="INDUSTRIALES / AGRICOLAS Plásticos (excepto SUP*) PVC No envase"/>
    <x v="127"/>
    <n v="1"/>
    <n v="142.19999999999999"/>
    <m/>
    <m/>
    <m/>
    <m/>
    <n v="141.19999999999999"/>
    <n v="9.1885208563805415E-3"/>
    <n v="1"/>
    <m/>
    <x v="1"/>
  </r>
  <r>
    <x v="2"/>
    <x v="6"/>
    <x v="7"/>
    <s v="Envase"/>
    <s v="INDUSTRIALES / AGRICOLAS Plásticos (excepto SUP*) PP Envase"/>
    <x v="128"/>
    <n v="1"/>
    <n v="143.19999999999999"/>
    <m/>
    <m/>
    <m/>
    <m/>
    <n v="142.19999999999999"/>
    <n v="9.2535953666948514E-3"/>
    <n v="1"/>
    <m/>
    <x v="0"/>
  </r>
  <r>
    <x v="2"/>
    <x v="6"/>
    <x v="7"/>
    <s v="No envase"/>
    <s v="INDUSTRIALES / AGRICOLAS Plásticos (excepto SUP*) PP No envase"/>
    <x v="129"/>
    <n v="1"/>
    <n v="144.19999999999999"/>
    <m/>
    <m/>
    <m/>
    <m/>
    <n v="143.19999999999999"/>
    <n v="9.3186698770091596E-3"/>
    <n v="1"/>
    <m/>
    <x v="1"/>
  </r>
  <r>
    <x v="2"/>
    <x v="6"/>
    <x v="8"/>
    <s v="Envase"/>
    <s v="INDUSTRIALES / AGRICOLAS Plásticos (excepto SUP*) PS (excepto EPS) Envase"/>
    <x v="130"/>
    <n v="1"/>
    <n v="145.19999999999999"/>
    <m/>
    <m/>
    <m/>
    <m/>
    <n v="144.19999999999999"/>
    <n v="9.3837443873234696E-3"/>
    <n v="1"/>
    <m/>
    <x v="0"/>
  </r>
  <r>
    <x v="2"/>
    <x v="6"/>
    <x v="8"/>
    <s v="No envase"/>
    <s v="INDUSTRIALES / AGRICOLAS Plásticos (excepto SUP*) PS (excepto EPS) No envase"/>
    <x v="131"/>
    <n v="1"/>
    <n v="146.19999999999999"/>
    <m/>
    <m/>
    <m/>
    <m/>
    <n v="145.19999999999999"/>
    <n v="9.4488188976377795E-3"/>
    <n v="1"/>
    <m/>
    <x v="1"/>
  </r>
  <r>
    <x v="2"/>
    <x v="6"/>
    <x v="9"/>
    <s v="Envase"/>
    <s v="INDUSTRIALES / AGRICOLAS Plásticos (excepto SUP*) EPS Envase"/>
    <x v="132"/>
    <n v="1"/>
    <n v="147.19999999999999"/>
    <m/>
    <m/>
    <m/>
    <m/>
    <n v="146.19999999999999"/>
    <n v="9.5138934079520895E-3"/>
    <n v="1"/>
    <m/>
    <x v="0"/>
  </r>
  <r>
    <x v="2"/>
    <x v="6"/>
    <x v="9"/>
    <s v="No envase"/>
    <s v="INDUSTRIALES / AGRICOLAS Plásticos (excepto SUP*) EPS No envase"/>
    <x v="133"/>
    <n v="1"/>
    <n v="148.19999999999999"/>
    <m/>
    <m/>
    <m/>
    <m/>
    <n v="147.19999999999999"/>
    <n v="9.5789679182663994E-3"/>
    <n v="1"/>
    <m/>
    <x v="1"/>
  </r>
  <r>
    <x v="2"/>
    <x v="6"/>
    <x v="10"/>
    <s v="Envase"/>
    <s v="INDUSTRIALES / AGRICOLAS Plásticos (excepto SUP*) Otros Plásticos Envase"/>
    <x v="134"/>
    <n v="1"/>
    <n v="149.19999999999999"/>
    <m/>
    <m/>
    <m/>
    <m/>
    <n v="148.19999999999999"/>
    <n v="9.6440424285807094E-3"/>
    <n v="1"/>
    <m/>
    <x v="0"/>
  </r>
  <r>
    <x v="2"/>
    <x v="6"/>
    <x v="10"/>
    <s v="No envase"/>
    <s v="INDUSTRIALES / AGRICOLAS Plásticos (excepto SUP*) Otros Plásticos No envase"/>
    <x v="135"/>
    <n v="1"/>
    <n v="150.19999999999999"/>
    <m/>
    <m/>
    <m/>
    <m/>
    <n v="149.19999999999999"/>
    <n v="9.7091169388950193E-3"/>
    <n v="1"/>
    <m/>
    <x v="1"/>
  </r>
  <r>
    <x v="2"/>
    <x v="7"/>
    <x v="11"/>
    <m/>
    <s v="INDUSTRIALES / AGRICOLAS * Plásticos de un solo uso (SUP) [iii] Botellas para bebidas de hasta tres litros de capacidad, incluidos sus tapas y tapones "/>
    <x v="136"/>
    <n v="1"/>
    <n v="151.19999999999999"/>
    <m/>
    <m/>
    <m/>
    <m/>
    <n v="150.19999999999999"/>
    <n v="9.7741914492093292E-3"/>
    <n v="1"/>
    <m/>
    <x v="0"/>
  </r>
  <r>
    <x v="2"/>
    <x v="7"/>
    <x v="12"/>
    <m/>
    <s v="INDUSTRIALES / AGRICOLAS * Plásticos de un solo uso (SUP) [iii] Productos de tabaco con filtro y fitros comercializados para utilizarse en combinación con productos del tabaco "/>
    <x v="137"/>
    <n v="1"/>
    <n v="152.19999999999999"/>
    <m/>
    <m/>
    <m/>
    <m/>
    <n v="151.19999999999999"/>
    <n v="9.8392659595236392E-3"/>
    <n v="1"/>
    <m/>
    <x v="1"/>
  </r>
  <r>
    <x v="2"/>
    <x v="7"/>
    <x v="13"/>
    <m/>
    <s v="INDUSTRIALES / AGRICOLAS * Plásticos de un solo uso (SUP) [iii] Recipientes para alimentos "/>
    <x v="138"/>
    <n v="1"/>
    <n v="153.19999999999999"/>
    <m/>
    <m/>
    <m/>
    <m/>
    <n v="152.19999999999999"/>
    <n v="9.9043404698379491E-3"/>
    <n v="1"/>
    <m/>
    <x v="0"/>
  </r>
  <r>
    <x v="2"/>
    <x v="7"/>
    <x v="14"/>
    <m/>
    <s v="INDUSTRIALES / AGRICOLAS * Plásticos de un solo uso (SUP) [iii] Vasos para bebidas (incluidas sus tapas y tapones) "/>
    <x v="139"/>
    <n v="1"/>
    <n v="154.19999999999999"/>
    <m/>
    <m/>
    <m/>
    <m/>
    <n v="153.19999999999999"/>
    <n v="9.9694149801522591E-3"/>
    <n v="1"/>
    <m/>
    <x v="0"/>
  </r>
  <r>
    <x v="2"/>
    <x v="7"/>
    <x v="15"/>
    <m/>
    <s v="INDUSTRIALES / AGRICOLAS * Plásticos de un solo uso (SUP) [iii] Otros "/>
    <x v="140"/>
    <n v="1"/>
    <n v="155.19999999999999"/>
    <m/>
    <m/>
    <m/>
    <m/>
    <n v="154.19999999999999"/>
    <n v="1.0034489490466567E-2"/>
    <n v="1"/>
    <m/>
    <x v="0"/>
  </r>
  <r>
    <x v="2"/>
    <x v="8"/>
    <x v="16"/>
    <m/>
    <s v="INDUSTRIALES / AGRICOLAS Biorresiduos Restos de alimentos no cocinados y restos derivados de la preparación de alimentos "/>
    <x v="141"/>
    <n v="1"/>
    <n v="156.19999999999999"/>
    <m/>
    <m/>
    <m/>
    <m/>
    <n v="155.19999999999999"/>
    <n v="1.0099564000780877E-2"/>
    <n v="1"/>
    <m/>
    <x v="0"/>
  </r>
  <r>
    <x v="2"/>
    <x v="8"/>
    <x v="17"/>
    <m/>
    <s v="INDUSTRIALES / AGRICOLAS Biorresiduos Restos de alimentos cocinados "/>
    <x v="142"/>
    <n v="1"/>
    <n v="157.19999999999999"/>
    <m/>
    <m/>
    <m/>
    <m/>
    <n v="156.19999999999999"/>
    <n v="1.0164638511095187E-2"/>
    <n v="1"/>
    <m/>
    <x v="0"/>
  </r>
  <r>
    <x v="2"/>
    <x v="8"/>
    <x v="18"/>
    <m/>
    <s v="INDUSTRIALES / AGRICOLAS Biorresiduos Celulosas: Papel de cocina, servilletas "/>
    <x v="143"/>
    <n v="1"/>
    <n v="158.19999999999999"/>
    <m/>
    <m/>
    <m/>
    <m/>
    <n v="157.19999999999999"/>
    <n v="1.0229713021409497E-2"/>
    <n v="1"/>
    <m/>
    <x v="0"/>
  </r>
  <r>
    <x v="2"/>
    <x v="8"/>
    <x v="19"/>
    <m/>
    <s v="INDUSTRIALES / AGRICOLAS Biorresiduos Otros restos de cocina compostables: bolsas, corchos, palillos de madera y otros resto compostables (vasos de papel, etc.) "/>
    <x v="144"/>
    <n v="1"/>
    <n v="159.19999999999999"/>
    <m/>
    <m/>
    <m/>
    <m/>
    <n v="158.19999999999999"/>
    <n v="1.0294787531723807E-2"/>
    <n v="1"/>
    <m/>
    <x v="0"/>
  </r>
  <r>
    <x v="2"/>
    <x v="8"/>
    <x v="20"/>
    <m/>
    <s v="INDUSTRIALES / AGRICOLAS Biorresiduos Derroche alimentario: alimentos caducados y en mal estado (a granel o en envases abiertos, el envase se separará en su fracción) "/>
    <x v="145"/>
    <n v="1"/>
    <n v="160.19999999999999"/>
    <m/>
    <m/>
    <m/>
    <m/>
    <n v="159.19999999999999"/>
    <n v="1.0359862042038117E-2"/>
    <n v="1"/>
    <m/>
    <x v="0"/>
  </r>
  <r>
    <x v="2"/>
    <x v="8"/>
    <x v="21"/>
    <m/>
    <s v="INDUSTRIALES / AGRICOLAS Biorresiduos Restos vegetales (césped, hojas, flores, etc.) "/>
    <x v="146"/>
    <n v="1"/>
    <n v="161.19999999999999"/>
    <m/>
    <m/>
    <m/>
    <m/>
    <n v="160.19999999999999"/>
    <n v="1.0424936552352427E-2"/>
    <n v="1"/>
    <m/>
    <x v="0"/>
  </r>
  <r>
    <x v="2"/>
    <x v="8"/>
    <x v="22"/>
    <m/>
    <s v="INDUSTRIALES / AGRICOLAS Biorresiduos Restos de poda (ramas, arbustos, etc.) "/>
    <x v="147"/>
    <n v="1"/>
    <n v="162.19999999999999"/>
    <m/>
    <m/>
    <m/>
    <m/>
    <n v="161.19999999999999"/>
    <n v="1.0490011062666737E-2"/>
    <n v="1"/>
    <m/>
    <x v="0"/>
  </r>
  <r>
    <x v="2"/>
    <x v="9"/>
    <x v="23"/>
    <m/>
    <s v="INDUSTRIALES / AGRICOLAS ACEITE Aceite de cocina usados (contenidos en envases) "/>
    <x v="148"/>
    <n v="1"/>
    <n v="163.19999999999999"/>
    <m/>
    <m/>
    <m/>
    <m/>
    <n v="162.19999999999999"/>
    <n v="1.0555085572981047E-2"/>
    <n v="1"/>
    <m/>
    <x v="0"/>
  </r>
  <r>
    <x v="2"/>
    <x v="10"/>
    <x v="24"/>
    <m/>
    <s v="INDUSTRIALES / AGRICOLAS RAEE [iv] RAEE  "/>
    <x v="149"/>
    <n v="1"/>
    <n v="164.2"/>
    <m/>
    <m/>
    <m/>
    <m/>
    <n v="163.19999999999999"/>
    <n v="1.0620160083295357E-2"/>
    <n v="1"/>
    <m/>
    <x v="0"/>
  </r>
  <r>
    <x v="2"/>
    <x v="11"/>
    <x v="25"/>
    <m/>
    <s v="INDUSTRIALES / AGRICOLAS Baterias Pilas y Acumuladores "/>
    <x v="150"/>
    <n v="1"/>
    <n v="165.2"/>
    <m/>
    <m/>
    <m/>
    <m/>
    <n v="164.2"/>
    <n v="1.0685234593609667E-2"/>
    <n v="1"/>
    <m/>
    <x v="0"/>
  </r>
  <r>
    <x v="2"/>
    <x v="11"/>
    <x v="26"/>
    <m/>
    <s v="INDUSTRIALES / AGRICOLAS Baterias Baterías de Vehículos "/>
    <x v="151"/>
    <n v="1"/>
    <n v="166.2"/>
    <m/>
    <m/>
    <m/>
    <m/>
    <n v="165.2"/>
    <n v="1.0750309103923975E-2"/>
    <n v="1"/>
    <m/>
    <x v="0"/>
  </r>
  <r>
    <x v="2"/>
    <x v="12"/>
    <x v="27"/>
    <m/>
    <s v="INDUSTRIALES / AGRICOLAS Textiles Textiles y piel "/>
    <x v="152"/>
    <n v="1"/>
    <n v="167.2"/>
    <m/>
    <m/>
    <m/>
    <m/>
    <n v="166.2"/>
    <n v="1.0815383614238285E-2"/>
    <n v="1"/>
    <m/>
    <x v="0"/>
  </r>
  <r>
    <x v="2"/>
    <x v="13"/>
    <x v="28"/>
    <m/>
    <s v="INDUSTRIALES / AGRICOLAS Textiles sanitarios Textiles y celulósicos sanitarios "/>
    <x v="153"/>
    <n v="1"/>
    <n v="168.2"/>
    <m/>
    <m/>
    <m/>
    <m/>
    <n v="167.2"/>
    <n v="1.0880458124552595E-2"/>
    <n v="1"/>
    <m/>
    <x v="1"/>
  </r>
  <r>
    <x v="2"/>
    <x v="14"/>
    <x v="29"/>
    <m/>
    <s v="INDUSTRIALES / AGRICOLAS Tierras y RCDs Tierras y Escombros "/>
    <x v="154"/>
    <n v="1"/>
    <n v="169.2"/>
    <m/>
    <m/>
    <m/>
    <m/>
    <n v="168.2"/>
    <n v="1.0945532634866905E-2"/>
    <n v="1"/>
    <m/>
    <x v="0"/>
  </r>
  <r>
    <x v="2"/>
    <x v="14"/>
    <x v="30"/>
    <m/>
    <s v="INDUSTRIALES / AGRICOLAS Tierras y RCDs Restos de obras menores "/>
    <x v="155"/>
    <n v="1"/>
    <n v="170.2"/>
    <m/>
    <m/>
    <m/>
    <m/>
    <n v="169.2"/>
    <n v="1.1010607145181215E-2"/>
    <n v="1"/>
    <m/>
    <x v="0"/>
  </r>
  <r>
    <x v="2"/>
    <x v="15"/>
    <x v="31"/>
    <m/>
    <s v="INDUSTRIALES / AGRICOLAS Otros Inclasificables mayores de 50 mm "/>
    <x v="156"/>
    <n v="1"/>
    <n v="171.2"/>
    <m/>
    <m/>
    <m/>
    <m/>
    <n v="170.2"/>
    <n v="1.1075681655495525E-2"/>
    <n v="1"/>
    <m/>
    <x v="1"/>
  </r>
  <r>
    <x v="2"/>
    <x v="15"/>
    <x v="32"/>
    <m/>
    <s v="INDUSTRIALES / AGRICOLAS Otros Finos &lt; 50 mm (si &gt; 2kg*, se hará una analitica en laboratorio) "/>
    <x v="157"/>
    <n v="1"/>
    <n v="172.2"/>
    <m/>
    <m/>
    <m/>
    <m/>
    <n v="171.2"/>
    <n v="1.1140756165809835E-2"/>
    <n v="1"/>
    <m/>
    <x v="1"/>
  </r>
  <r>
    <x v="2"/>
    <x v="15"/>
    <x v="33"/>
    <m/>
    <s v="INDUSTRIALES / AGRICOLAS Otros Cantidad de Producto en Envases (Sólido) "/>
    <x v="158"/>
    <n v="1"/>
    <n v="173.2"/>
    <m/>
    <m/>
    <m/>
    <m/>
    <n v="172.2"/>
    <n v="1.1205830676124144E-2"/>
    <n v="1"/>
    <m/>
    <x v="1"/>
  </r>
  <r>
    <x v="2"/>
    <x v="15"/>
    <x v="34"/>
    <m/>
    <s v="INDUSTRIALES / AGRICOLAS Otros Cantidad de Producto en Envases (líquido-no aceite) "/>
    <x v="159"/>
    <n v="1"/>
    <n v="174.2"/>
    <m/>
    <m/>
    <m/>
    <m/>
    <n v="173.2"/>
    <n v="1.1270905186438454E-2"/>
    <n v="1"/>
    <m/>
    <x v="1"/>
  </r>
  <r>
    <x v="2"/>
    <x v="15"/>
    <x v="35"/>
    <m/>
    <s v="INDUSTRIALES / AGRICOLAS Otros Caucho "/>
    <x v="160"/>
    <n v="1"/>
    <n v="175.2"/>
    <m/>
    <m/>
    <m/>
    <m/>
    <n v="174.2"/>
    <n v="1.1335979696752764E-2"/>
    <n v="1"/>
    <m/>
    <x v="1"/>
  </r>
  <r>
    <x v="2"/>
    <x v="15"/>
    <x v="36"/>
    <m/>
    <s v="INDUSTRIALES / AGRICOLAS Otros Otros otros  (cuerdas multimaterial…) "/>
    <x v="161"/>
    <n v="1"/>
    <n v="176.2"/>
    <m/>
    <m/>
    <m/>
    <m/>
    <n v="175.2"/>
    <n v="1.1401054207067074E-2"/>
    <n v="1"/>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location ref="A262:C427" firstHeaderRow="0" firstDataRow="1" firstDataCol="1"/>
  <pivotFields count="17">
    <pivotField showAll="0"/>
    <pivotField showAll="0"/>
    <pivotField showAll="0"/>
    <pivotField showAll="0"/>
    <pivotField showAll="0"/>
    <pivotField axis="axisRow" showAll="0" defaultSubtotal="0">
      <items count="162">
        <item x="82"/>
        <item x="86"/>
        <item x="83"/>
        <item x="84"/>
        <item x="85"/>
        <item x="94"/>
        <item x="97"/>
        <item x="96"/>
        <item x="89"/>
        <item x="91"/>
        <item x="90"/>
        <item x="88"/>
        <item x="87"/>
        <item x="93"/>
        <item x="92"/>
        <item x="57"/>
        <item x="64"/>
        <item x="65"/>
        <item x="60"/>
        <item x="61"/>
        <item x="62"/>
        <item x="63"/>
        <item x="105"/>
        <item x="104"/>
        <item x="106"/>
        <item x="103"/>
        <item x="102"/>
        <item x="107"/>
        <item x="54"/>
        <item x="55"/>
        <item x="56"/>
        <item x="78"/>
        <item x="79"/>
        <item x="80"/>
        <item x="81"/>
        <item x="68"/>
        <item x="69"/>
        <item x="70"/>
        <item x="71"/>
        <item x="66"/>
        <item x="67"/>
        <item x="74"/>
        <item x="75"/>
        <item x="76"/>
        <item x="77"/>
        <item x="72"/>
        <item x="73"/>
        <item x="95"/>
        <item x="99"/>
        <item x="98"/>
        <item x="101"/>
        <item x="100"/>
        <item x="58"/>
        <item x="59"/>
        <item x="28"/>
        <item x="32"/>
        <item x="29"/>
        <item x="30"/>
        <item x="31"/>
        <item x="40"/>
        <item x="43"/>
        <item x="42"/>
        <item x="35"/>
        <item x="37"/>
        <item x="36"/>
        <item x="34"/>
        <item x="33"/>
        <item x="39"/>
        <item x="38"/>
        <item x="3"/>
        <item x="10"/>
        <item x="11"/>
        <item x="6"/>
        <item x="7"/>
        <item x="8"/>
        <item x="9"/>
        <item x="51"/>
        <item x="50"/>
        <item x="52"/>
        <item x="49"/>
        <item x="48"/>
        <item x="53"/>
        <item x="0"/>
        <item x="1"/>
        <item x="2"/>
        <item x="24"/>
        <item x="25"/>
        <item x="26"/>
        <item x="27"/>
        <item x="14"/>
        <item x="15"/>
        <item x="16"/>
        <item x="17"/>
        <item x="12"/>
        <item x="13"/>
        <item x="20"/>
        <item x="21"/>
        <item x="22"/>
        <item x="23"/>
        <item x="18"/>
        <item x="19"/>
        <item x="41"/>
        <item x="45"/>
        <item x="44"/>
        <item x="47"/>
        <item x="46"/>
        <item x="4"/>
        <item x="5"/>
        <item x="136"/>
        <item x="140"/>
        <item x="137"/>
        <item x="138"/>
        <item x="139"/>
        <item x="148"/>
        <item x="151"/>
        <item x="150"/>
        <item x="143"/>
        <item x="145"/>
        <item x="144"/>
        <item x="142"/>
        <item x="141"/>
        <item x="147"/>
        <item x="146"/>
        <item x="111"/>
        <item x="118"/>
        <item x="119"/>
        <item x="114"/>
        <item x="115"/>
        <item x="116"/>
        <item x="117"/>
        <item x="159"/>
        <item x="158"/>
        <item x="160"/>
        <item x="157"/>
        <item x="156"/>
        <item x="161"/>
        <item x="108"/>
        <item x="109"/>
        <item x="110"/>
        <item x="132"/>
        <item x="133"/>
        <item x="134"/>
        <item x="135"/>
        <item x="122"/>
        <item x="123"/>
        <item x="124"/>
        <item x="125"/>
        <item x="120"/>
        <item x="121"/>
        <item x="128"/>
        <item x="129"/>
        <item x="130"/>
        <item x="131"/>
        <item x="126"/>
        <item x="127"/>
        <item x="149"/>
        <item x="153"/>
        <item x="152"/>
        <item x="155"/>
        <item x="154"/>
        <item x="112"/>
        <item x="113"/>
      </items>
    </pivotField>
    <pivotField showAll="0"/>
    <pivotField showAll="0"/>
    <pivotField showAll="0"/>
    <pivotField showAll="0"/>
    <pivotField showAll="0"/>
    <pivotField showAll="0"/>
    <pivotField dataField="1" showAll="0"/>
    <pivotField dataField="1" numFmtId="10" showAll="0"/>
    <pivotField showAll="0"/>
    <pivotField showAll="0"/>
    <pivotField axis="axisRow" showAll="0" defaultSubtotal="0">
      <items count="4">
        <item x="0"/>
        <item m="1" x="3"/>
        <item m="1" x="2"/>
        <item x="1"/>
      </items>
    </pivotField>
  </pivotFields>
  <rowFields count="2">
    <field x="16"/>
    <field x="5"/>
  </rowFields>
  <rowItems count="165">
    <i>
      <x/>
    </i>
    <i r="1">
      <x/>
    </i>
    <i r="1">
      <x v="1"/>
    </i>
    <i r="1">
      <x v="3"/>
    </i>
    <i r="1">
      <x v="4"/>
    </i>
    <i r="1">
      <x v="5"/>
    </i>
    <i r="1">
      <x v="6"/>
    </i>
    <i r="1">
      <x v="7"/>
    </i>
    <i r="1">
      <x v="8"/>
    </i>
    <i r="1">
      <x v="9"/>
    </i>
    <i r="1">
      <x v="10"/>
    </i>
    <i r="1">
      <x v="11"/>
    </i>
    <i r="1">
      <x v="12"/>
    </i>
    <i r="1">
      <x v="13"/>
    </i>
    <i r="1">
      <x v="14"/>
    </i>
    <i r="1">
      <x v="15"/>
    </i>
    <i r="1">
      <x v="16"/>
    </i>
    <i r="1">
      <x v="18"/>
    </i>
    <i r="1">
      <x v="20"/>
    </i>
    <i r="1">
      <x v="28"/>
    </i>
    <i r="1">
      <x v="29"/>
    </i>
    <i r="1">
      <x v="30"/>
    </i>
    <i r="1">
      <x v="31"/>
    </i>
    <i r="1">
      <x v="33"/>
    </i>
    <i r="1">
      <x v="35"/>
    </i>
    <i r="1">
      <x v="37"/>
    </i>
    <i r="1">
      <x v="39"/>
    </i>
    <i r="1">
      <x v="41"/>
    </i>
    <i r="1">
      <x v="43"/>
    </i>
    <i r="1">
      <x v="45"/>
    </i>
    <i r="1">
      <x v="47"/>
    </i>
    <i r="1">
      <x v="49"/>
    </i>
    <i r="1">
      <x v="50"/>
    </i>
    <i r="1">
      <x v="51"/>
    </i>
    <i r="1">
      <x v="52"/>
    </i>
    <i r="1">
      <x v="53"/>
    </i>
    <i r="1">
      <x v="54"/>
    </i>
    <i r="1">
      <x v="55"/>
    </i>
    <i r="1">
      <x v="57"/>
    </i>
    <i r="1">
      <x v="58"/>
    </i>
    <i r="1">
      <x v="59"/>
    </i>
    <i r="1">
      <x v="60"/>
    </i>
    <i r="1">
      <x v="61"/>
    </i>
    <i r="1">
      <x v="62"/>
    </i>
    <i r="1">
      <x v="63"/>
    </i>
    <i r="1">
      <x v="64"/>
    </i>
    <i r="1">
      <x v="65"/>
    </i>
    <i r="1">
      <x v="66"/>
    </i>
    <i r="1">
      <x v="67"/>
    </i>
    <i r="1">
      <x v="68"/>
    </i>
    <i r="1">
      <x v="69"/>
    </i>
    <i r="1">
      <x v="70"/>
    </i>
    <i r="1">
      <x v="72"/>
    </i>
    <i r="1">
      <x v="74"/>
    </i>
    <i r="1">
      <x v="82"/>
    </i>
    <i r="1">
      <x v="83"/>
    </i>
    <i r="1">
      <x v="84"/>
    </i>
    <i r="1">
      <x v="85"/>
    </i>
    <i r="1">
      <x v="87"/>
    </i>
    <i r="1">
      <x v="89"/>
    </i>
    <i r="1">
      <x v="91"/>
    </i>
    <i r="1">
      <x v="93"/>
    </i>
    <i r="1">
      <x v="95"/>
    </i>
    <i r="1">
      <x v="97"/>
    </i>
    <i r="1">
      <x v="99"/>
    </i>
    <i r="1">
      <x v="101"/>
    </i>
    <i r="1">
      <x v="103"/>
    </i>
    <i r="1">
      <x v="104"/>
    </i>
    <i r="1">
      <x v="105"/>
    </i>
    <i r="1">
      <x v="106"/>
    </i>
    <i r="1">
      <x v="107"/>
    </i>
    <i r="1">
      <x v="108"/>
    </i>
    <i r="1">
      <x v="109"/>
    </i>
    <i r="1">
      <x v="111"/>
    </i>
    <i r="1">
      <x v="112"/>
    </i>
    <i r="1">
      <x v="113"/>
    </i>
    <i r="1">
      <x v="114"/>
    </i>
    <i r="1">
      <x v="115"/>
    </i>
    <i r="1">
      <x v="116"/>
    </i>
    <i r="1">
      <x v="117"/>
    </i>
    <i r="1">
      <x v="118"/>
    </i>
    <i r="1">
      <x v="119"/>
    </i>
    <i r="1">
      <x v="120"/>
    </i>
    <i r="1">
      <x v="121"/>
    </i>
    <i r="1">
      <x v="122"/>
    </i>
    <i r="1">
      <x v="123"/>
    </i>
    <i r="1">
      <x v="124"/>
    </i>
    <i r="1">
      <x v="126"/>
    </i>
    <i r="1">
      <x v="128"/>
    </i>
    <i r="1">
      <x v="136"/>
    </i>
    <i r="1">
      <x v="137"/>
    </i>
    <i r="1">
      <x v="138"/>
    </i>
    <i r="1">
      <x v="139"/>
    </i>
    <i r="1">
      <x v="141"/>
    </i>
    <i r="1">
      <x v="143"/>
    </i>
    <i r="1">
      <x v="145"/>
    </i>
    <i r="1">
      <x v="147"/>
    </i>
    <i r="1">
      <x v="149"/>
    </i>
    <i r="1">
      <x v="151"/>
    </i>
    <i r="1">
      <x v="153"/>
    </i>
    <i r="1">
      <x v="155"/>
    </i>
    <i r="1">
      <x v="157"/>
    </i>
    <i r="1">
      <x v="158"/>
    </i>
    <i r="1">
      <x v="159"/>
    </i>
    <i r="1">
      <x v="160"/>
    </i>
    <i r="1">
      <x v="161"/>
    </i>
    <i>
      <x v="3"/>
    </i>
    <i r="1">
      <x v="2"/>
    </i>
    <i r="1">
      <x v="17"/>
    </i>
    <i r="1">
      <x v="19"/>
    </i>
    <i r="1">
      <x v="21"/>
    </i>
    <i r="1">
      <x v="22"/>
    </i>
    <i r="1">
      <x v="23"/>
    </i>
    <i r="1">
      <x v="24"/>
    </i>
    <i r="1">
      <x v="25"/>
    </i>
    <i r="1">
      <x v="26"/>
    </i>
    <i r="1">
      <x v="27"/>
    </i>
    <i r="1">
      <x v="32"/>
    </i>
    <i r="1">
      <x v="34"/>
    </i>
    <i r="1">
      <x v="36"/>
    </i>
    <i r="1">
      <x v="38"/>
    </i>
    <i r="1">
      <x v="40"/>
    </i>
    <i r="1">
      <x v="42"/>
    </i>
    <i r="1">
      <x v="44"/>
    </i>
    <i r="1">
      <x v="46"/>
    </i>
    <i r="1">
      <x v="48"/>
    </i>
    <i r="1">
      <x v="56"/>
    </i>
    <i r="1">
      <x v="71"/>
    </i>
    <i r="1">
      <x v="73"/>
    </i>
    <i r="1">
      <x v="75"/>
    </i>
    <i r="1">
      <x v="76"/>
    </i>
    <i r="1">
      <x v="77"/>
    </i>
    <i r="1">
      <x v="78"/>
    </i>
    <i r="1">
      <x v="79"/>
    </i>
    <i r="1">
      <x v="80"/>
    </i>
    <i r="1">
      <x v="81"/>
    </i>
    <i r="1">
      <x v="86"/>
    </i>
    <i r="1">
      <x v="88"/>
    </i>
    <i r="1">
      <x v="90"/>
    </i>
    <i r="1">
      <x v="92"/>
    </i>
    <i r="1">
      <x v="94"/>
    </i>
    <i r="1">
      <x v="96"/>
    </i>
    <i r="1">
      <x v="98"/>
    </i>
    <i r="1">
      <x v="100"/>
    </i>
    <i r="1">
      <x v="102"/>
    </i>
    <i r="1">
      <x v="110"/>
    </i>
    <i r="1">
      <x v="125"/>
    </i>
    <i r="1">
      <x v="127"/>
    </i>
    <i r="1">
      <x v="129"/>
    </i>
    <i r="1">
      <x v="130"/>
    </i>
    <i r="1">
      <x v="131"/>
    </i>
    <i r="1">
      <x v="132"/>
    </i>
    <i r="1">
      <x v="133"/>
    </i>
    <i r="1">
      <x v="134"/>
    </i>
    <i r="1">
      <x v="135"/>
    </i>
    <i r="1">
      <x v="140"/>
    </i>
    <i r="1">
      <x v="142"/>
    </i>
    <i r="1">
      <x v="144"/>
    </i>
    <i r="1">
      <x v="146"/>
    </i>
    <i r="1">
      <x v="148"/>
    </i>
    <i r="1">
      <x v="150"/>
    </i>
    <i r="1">
      <x v="152"/>
    </i>
    <i r="1">
      <x v="154"/>
    </i>
    <i r="1">
      <x v="156"/>
    </i>
    <i t="grand">
      <x/>
    </i>
  </rowItems>
  <colFields count="1">
    <field x="-2"/>
  </colFields>
  <colItems count="2">
    <i>
      <x/>
    </i>
    <i i="1">
      <x v="1"/>
    </i>
  </colItems>
  <dataFields count="2">
    <dataField name="Suma de TOTAL" fld="12" baseField="0" baseItem="0"/>
    <dataField name="Suma de %" fld="13" baseField="0" baseItem="0" numFmtId="9"/>
  </dataFields>
  <formats count="4">
    <format dxfId="3">
      <pivotArea outline="0" collapsedLevelsAreSubtotals="1" fieldPosition="0">
        <references count="1">
          <reference field="4294967294" count="1" selected="0">
            <x v="1"/>
          </reference>
        </references>
      </pivotArea>
    </format>
    <format dxfId="2">
      <pivotArea dataOnly="0" labelOnly="1" outline="0" fieldPosition="0">
        <references count="1">
          <reference field="4294967294" count="1">
            <x v="1"/>
          </reference>
        </references>
      </pivotArea>
    </format>
    <format dxfId="1">
      <pivotArea outline="0" collapsedLevelsAreSubtotals="1" fieldPosition="0">
        <references count="1">
          <reference field="4294967294" count="1" selected="0">
            <x v="0"/>
          </reference>
        </references>
      </pivotArea>
    </format>
    <format dxfId="0">
      <pivotArea dataOnly="0" labelOnly="1" outline="0" fieldPosition="0">
        <references count="1">
          <reference field="4294967294" count="1">
            <x v="0"/>
          </reference>
        </references>
      </pivotArea>
    </format>
  </formats>
  <chartFormats count="4">
    <chartFormat chart="0" format="2" series="1">
      <pivotArea type="data" outline="0" fieldPosition="0">
        <references count="1">
          <reference field="4294967294" count="1" selected="0">
            <x v="0"/>
          </reference>
        </references>
      </pivotArea>
    </chartFormat>
    <chartFormat chart="0" format="3" series="1">
      <pivotArea type="data" outline="0" fieldPosition="0">
        <references count="1">
          <reference field="4294967294" count="1" selected="0">
            <x v="1"/>
          </reference>
        </references>
      </pivotArea>
    </chartFormat>
    <chartFormat chart="1" format="12" series="1">
      <pivotArea type="data" outline="0" fieldPosition="0">
        <references count="1">
          <reference field="4294967294" count="1" selected="0">
            <x v="0"/>
          </reference>
        </references>
      </pivotArea>
    </chartFormat>
    <chartFormat chart="1" format="13"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location ref="A218:C235" firstHeaderRow="0" firstDataRow="1" firstDataCol="1"/>
  <pivotFields count="17">
    <pivotField showAll="0"/>
    <pivotField axis="axisRow" showAll="0">
      <items count="17">
        <item x="7"/>
        <item x="9"/>
        <item x="11"/>
        <item x="8"/>
        <item x="1"/>
        <item x="5"/>
        <item x="3"/>
        <item x="4"/>
        <item x="15"/>
        <item x="0"/>
        <item x="6"/>
        <item x="10"/>
        <item x="12"/>
        <item x="13"/>
        <item x="14"/>
        <item x="2"/>
        <item t="default"/>
      </items>
    </pivotField>
    <pivotField showAll="0"/>
    <pivotField showAll="0"/>
    <pivotField showAll="0"/>
    <pivotField showAll="0" defaultSubtotal="0"/>
    <pivotField showAll="0"/>
    <pivotField showAll="0"/>
    <pivotField showAll="0"/>
    <pivotField showAll="0"/>
    <pivotField showAll="0"/>
    <pivotField showAll="0"/>
    <pivotField dataField="1" showAll="0"/>
    <pivotField dataField="1" numFmtId="10" showAll="0"/>
    <pivotField showAll="0"/>
    <pivotField showAll="0"/>
    <pivotField showAll="0" defaultSubtotal="0">
      <items count="4">
        <item x="0"/>
        <item m="1" x="3"/>
        <item m="1" x="2"/>
        <item h="1" x="1"/>
      </items>
    </pivotField>
  </pivotFields>
  <rowFields count="1">
    <field x="1"/>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a de TOTAL" fld="12" baseField="0" baseItem="0"/>
    <dataField name="Suma de %" fld="13" baseField="0" baseItem="0" numFmtId="9"/>
  </dataFields>
  <formats count="4">
    <format dxfId="7">
      <pivotArea outline="0" collapsedLevelsAreSubtotals="1" fieldPosition="0">
        <references count="1">
          <reference field="4294967294" count="1" selected="0">
            <x v="1"/>
          </reference>
        </references>
      </pivotArea>
    </format>
    <format dxfId="6">
      <pivotArea dataOnly="0" labelOnly="1" outline="0" fieldPosition="0">
        <references count="1">
          <reference field="4294967294" count="1">
            <x v="1"/>
          </reference>
        </references>
      </pivotArea>
    </format>
    <format dxfId="5">
      <pivotArea outline="0" collapsedLevelsAreSubtotals="1" fieldPosition="0">
        <references count="1">
          <reference field="4294967294" count="1" selected="0">
            <x v="0"/>
          </reference>
        </references>
      </pivotArea>
    </format>
    <format dxfId="4">
      <pivotArea dataOnly="0" labelOnly="1" outline="0" fieldPosition="0">
        <references count="1">
          <reference field="4294967294" count="1">
            <x v="0"/>
          </reference>
        </references>
      </pivotArea>
    </format>
  </formats>
  <chartFormats count="36">
    <chartFormat chart="0" format="2" series="1">
      <pivotArea type="data" outline="0" fieldPosition="0">
        <references count="1">
          <reference field="4294967294" count="1" selected="0">
            <x v="0"/>
          </reference>
        </references>
      </pivotArea>
    </chartFormat>
    <chartFormat chart="0" format="3" series="1">
      <pivotArea type="data" outline="0" fieldPosition="0">
        <references count="1">
          <reference field="4294967294" count="1" selected="0">
            <x v="1"/>
          </reference>
        </references>
      </pivotArea>
    </chartFormat>
    <chartFormat chart="1" format="8" series="1">
      <pivotArea type="data" outline="0" fieldPosition="0">
        <references count="1">
          <reference field="4294967294" count="1" selected="0">
            <x v="0"/>
          </reference>
        </references>
      </pivotArea>
    </chartFormat>
    <chartFormat chart="1" format="9" series="1">
      <pivotArea type="data" outline="0" fieldPosition="0">
        <references count="1">
          <reference field="4294967294" count="1" selected="0">
            <x v="1"/>
          </reference>
        </references>
      </pivotArea>
    </chartFormat>
    <chartFormat chart="1" format="10">
      <pivotArea type="data" outline="0" fieldPosition="0">
        <references count="2">
          <reference field="4294967294" count="1" selected="0">
            <x v="0"/>
          </reference>
          <reference field="1" count="1" selected="0">
            <x v="0"/>
          </reference>
        </references>
      </pivotArea>
    </chartFormat>
    <chartFormat chart="1" format="11">
      <pivotArea type="data" outline="0" fieldPosition="0">
        <references count="2">
          <reference field="4294967294" count="1" selected="0">
            <x v="0"/>
          </reference>
          <reference field="1" count="1" selected="0">
            <x v="1"/>
          </reference>
        </references>
      </pivotArea>
    </chartFormat>
    <chartFormat chart="1" format="12">
      <pivotArea type="data" outline="0" fieldPosition="0">
        <references count="2">
          <reference field="4294967294" count="1" selected="0">
            <x v="0"/>
          </reference>
          <reference field="1" count="1" selected="0">
            <x v="2"/>
          </reference>
        </references>
      </pivotArea>
    </chartFormat>
    <chartFormat chart="1" format="13">
      <pivotArea type="data" outline="0" fieldPosition="0">
        <references count="2">
          <reference field="4294967294" count="1" selected="0">
            <x v="0"/>
          </reference>
          <reference field="1" count="1" selected="0">
            <x v="3"/>
          </reference>
        </references>
      </pivotArea>
    </chartFormat>
    <chartFormat chart="1" format="14">
      <pivotArea type="data" outline="0" fieldPosition="0">
        <references count="2">
          <reference field="4294967294" count="1" selected="0">
            <x v="0"/>
          </reference>
          <reference field="1" count="1" selected="0">
            <x v="4"/>
          </reference>
        </references>
      </pivotArea>
    </chartFormat>
    <chartFormat chart="1" format="15">
      <pivotArea type="data" outline="0" fieldPosition="0">
        <references count="2">
          <reference field="4294967294" count="1" selected="0">
            <x v="0"/>
          </reference>
          <reference field="1" count="1" selected="0">
            <x v="5"/>
          </reference>
        </references>
      </pivotArea>
    </chartFormat>
    <chartFormat chart="1" format="16">
      <pivotArea type="data" outline="0" fieldPosition="0">
        <references count="2">
          <reference field="4294967294" count="1" selected="0">
            <x v="0"/>
          </reference>
          <reference field="1" count="1" selected="0">
            <x v="6"/>
          </reference>
        </references>
      </pivotArea>
    </chartFormat>
    <chartFormat chart="1" format="17">
      <pivotArea type="data" outline="0" fieldPosition="0">
        <references count="2">
          <reference field="4294967294" count="1" selected="0">
            <x v="0"/>
          </reference>
          <reference field="1" count="1" selected="0">
            <x v="7"/>
          </reference>
        </references>
      </pivotArea>
    </chartFormat>
    <chartFormat chart="1" format="18">
      <pivotArea type="data" outline="0" fieldPosition="0">
        <references count="2">
          <reference field="4294967294" count="1" selected="0">
            <x v="0"/>
          </reference>
          <reference field="1" count="1" selected="0">
            <x v="8"/>
          </reference>
        </references>
      </pivotArea>
    </chartFormat>
    <chartFormat chart="1" format="19">
      <pivotArea type="data" outline="0" fieldPosition="0">
        <references count="2">
          <reference field="4294967294" count="1" selected="0">
            <x v="0"/>
          </reference>
          <reference field="1" count="1" selected="0">
            <x v="9"/>
          </reference>
        </references>
      </pivotArea>
    </chartFormat>
    <chartFormat chart="1" format="20">
      <pivotArea type="data" outline="0" fieldPosition="0">
        <references count="2">
          <reference field="4294967294" count="1" selected="0">
            <x v="0"/>
          </reference>
          <reference field="1" count="1" selected="0">
            <x v="10"/>
          </reference>
        </references>
      </pivotArea>
    </chartFormat>
    <chartFormat chart="1" format="21">
      <pivotArea type="data" outline="0" fieldPosition="0">
        <references count="2">
          <reference field="4294967294" count="1" selected="0">
            <x v="0"/>
          </reference>
          <reference field="1" count="1" selected="0">
            <x v="11"/>
          </reference>
        </references>
      </pivotArea>
    </chartFormat>
    <chartFormat chart="1" format="22">
      <pivotArea type="data" outline="0" fieldPosition="0">
        <references count="2">
          <reference field="4294967294" count="1" selected="0">
            <x v="0"/>
          </reference>
          <reference field="1" count="1" selected="0">
            <x v="12"/>
          </reference>
        </references>
      </pivotArea>
    </chartFormat>
    <chartFormat chart="1" format="23">
      <pivotArea type="data" outline="0" fieldPosition="0">
        <references count="2">
          <reference field="4294967294" count="1" selected="0">
            <x v="0"/>
          </reference>
          <reference field="1" count="1" selected="0">
            <x v="13"/>
          </reference>
        </references>
      </pivotArea>
    </chartFormat>
    <chartFormat chart="1" format="24">
      <pivotArea type="data" outline="0" fieldPosition="0">
        <references count="2">
          <reference field="4294967294" count="1" selected="0">
            <x v="0"/>
          </reference>
          <reference field="1" count="1" selected="0">
            <x v="14"/>
          </reference>
        </references>
      </pivotArea>
    </chartFormat>
    <chartFormat chart="1" format="25">
      <pivotArea type="data" outline="0" fieldPosition="0">
        <references count="2">
          <reference field="4294967294" count="1" selected="0">
            <x v="0"/>
          </reference>
          <reference field="1" count="1" selected="0">
            <x v="15"/>
          </reference>
        </references>
      </pivotArea>
    </chartFormat>
    <chartFormat chart="1" format="26">
      <pivotArea type="data" outline="0" fieldPosition="0">
        <references count="2">
          <reference field="4294967294" count="1" selected="0">
            <x v="1"/>
          </reference>
          <reference field="1" count="1" selected="0">
            <x v="0"/>
          </reference>
        </references>
      </pivotArea>
    </chartFormat>
    <chartFormat chart="1" format="27">
      <pivotArea type="data" outline="0" fieldPosition="0">
        <references count="2">
          <reference field="4294967294" count="1" selected="0">
            <x v="1"/>
          </reference>
          <reference field="1" count="1" selected="0">
            <x v="1"/>
          </reference>
        </references>
      </pivotArea>
    </chartFormat>
    <chartFormat chart="1" format="28">
      <pivotArea type="data" outline="0" fieldPosition="0">
        <references count="2">
          <reference field="4294967294" count="1" selected="0">
            <x v="1"/>
          </reference>
          <reference field="1" count="1" selected="0">
            <x v="2"/>
          </reference>
        </references>
      </pivotArea>
    </chartFormat>
    <chartFormat chart="1" format="29">
      <pivotArea type="data" outline="0" fieldPosition="0">
        <references count="2">
          <reference field="4294967294" count="1" selected="0">
            <x v="1"/>
          </reference>
          <reference field="1" count="1" selected="0">
            <x v="3"/>
          </reference>
        </references>
      </pivotArea>
    </chartFormat>
    <chartFormat chart="1" format="30">
      <pivotArea type="data" outline="0" fieldPosition="0">
        <references count="2">
          <reference field="4294967294" count="1" selected="0">
            <x v="1"/>
          </reference>
          <reference field="1" count="1" selected="0">
            <x v="4"/>
          </reference>
        </references>
      </pivotArea>
    </chartFormat>
    <chartFormat chart="1" format="31">
      <pivotArea type="data" outline="0" fieldPosition="0">
        <references count="2">
          <reference field="4294967294" count="1" selected="0">
            <x v="1"/>
          </reference>
          <reference field="1" count="1" selected="0">
            <x v="5"/>
          </reference>
        </references>
      </pivotArea>
    </chartFormat>
    <chartFormat chart="1" format="32">
      <pivotArea type="data" outline="0" fieldPosition="0">
        <references count="2">
          <reference field="4294967294" count="1" selected="0">
            <x v="1"/>
          </reference>
          <reference field="1" count="1" selected="0">
            <x v="6"/>
          </reference>
        </references>
      </pivotArea>
    </chartFormat>
    <chartFormat chart="1" format="33">
      <pivotArea type="data" outline="0" fieldPosition="0">
        <references count="2">
          <reference field="4294967294" count="1" selected="0">
            <x v="1"/>
          </reference>
          <reference field="1" count="1" selected="0">
            <x v="7"/>
          </reference>
        </references>
      </pivotArea>
    </chartFormat>
    <chartFormat chart="1" format="34">
      <pivotArea type="data" outline="0" fieldPosition="0">
        <references count="2">
          <reference field="4294967294" count="1" selected="0">
            <x v="1"/>
          </reference>
          <reference field="1" count="1" selected="0">
            <x v="8"/>
          </reference>
        </references>
      </pivotArea>
    </chartFormat>
    <chartFormat chart="1" format="35">
      <pivotArea type="data" outline="0" fieldPosition="0">
        <references count="2">
          <reference field="4294967294" count="1" selected="0">
            <x v="1"/>
          </reference>
          <reference field="1" count="1" selected="0">
            <x v="9"/>
          </reference>
        </references>
      </pivotArea>
    </chartFormat>
    <chartFormat chart="1" format="36">
      <pivotArea type="data" outline="0" fieldPosition="0">
        <references count="2">
          <reference field="4294967294" count="1" selected="0">
            <x v="1"/>
          </reference>
          <reference field="1" count="1" selected="0">
            <x v="10"/>
          </reference>
        </references>
      </pivotArea>
    </chartFormat>
    <chartFormat chart="1" format="37">
      <pivotArea type="data" outline="0" fieldPosition="0">
        <references count="2">
          <reference field="4294967294" count="1" selected="0">
            <x v="1"/>
          </reference>
          <reference field="1" count="1" selected="0">
            <x v="11"/>
          </reference>
        </references>
      </pivotArea>
    </chartFormat>
    <chartFormat chart="1" format="38">
      <pivotArea type="data" outline="0" fieldPosition="0">
        <references count="2">
          <reference field="4294967294" count="1" selected="0">
            <x v="1"/>
          </reference>
          <reference field="1" count="1" selected="0">
            <x v="12"/>
          </reference>
        </references>
      </pivotArea>
    </chartFormat>
    <chartFormat chart="1" format="39">
      <pivotArea type="data" outline="0" fieldPosition="0">
        <references count="2">
          <reference field="4294967294" count="1" selected="0">
            <x v="1"/>
          </reference>
          <reference field="1" count="1" selected="0">
            <x v="13"/>
          </reference>
        </references>
      </pivotArea>
    </chartFormat>
    <chartFormat chart="1" format="40">
      <pivotArea type="data" outline="0" fieldPosition="0">
        <references count="2">
          <reference field="4294967294" count="1" selected="0">
            <x v="1"/>
          </reference>
          <reference field="1" count="1" selected="0">
            <x v="14"/>
          </reference>
        </references>
      </pivotArea>
    </chartFormat>
    <chartFormat chart="1" format="41">
      <pivotArea type="data" outline="0" fieldPosition="0">
        <references count="2">
          <reference field="4294967294" count="1" selected="0">
            <x v="1"/>
          </reference>
          <reference field="1" count="1" selected="0">
            <x v="1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201:C204" firstHeaderRow="0" firstDataRow="1" firstDataCol="1"/>
  <pivotFields count="17">
    <pivotField showAll="0"/>
    <pivotField showAll="0"/>
    <pivotField showAll="0"/>
    <pivotField showAll="0"/>
    <pivotField showAll="0"/>
    <pivotField showAll="0" defaultSubtotal="0"/>
    <pivotField showAll="0"/>
    <pivotField showAll="0"/>
    <pivotField showAll="0"/>
    <pivotField showAll="0"/>
    <pivotField showAll="0"/>
    <pivotField showAll="0"/>
    <pivotField dataField="1" showAll="0"/>
    <pivotField dataField="1" numFmtId="10" showAll="0"/>
    <pivotField showAll="0"/>
    <pivotField showAll="0"/>
    <pivotField axis="axisRow" showAll="0" defaultSubtotal="0">
      <items count="4">
        <item x="0"/>
        <item m="1" x="3"/>
        <item m="1" x="2"/>
        <item x="1"/>
      </items>
    </pivotField>
  </pivotFields>
  <rowFields count="1">
    <field x="16"/>
  </rowFields>
  <rowItems count="3">
    <i>
      <x/>
    </i>
    <i>
      <x v="3"/>
    </i>
    <i t="grand">
      <x/>
    </i>
  </rowItems>
  <colFields count="1">
    <field x="-2"/>
  </colFields>
  <colItems count="2">
    <i>
      <x/>
    </i>
    <i i="1">
      <x v="1"/>
    </i>
  </colItems>
  <dataFields count="2">
    <dataField name="Suma de TOTAL" fld="12" baseField="0" baseItem="0"/>
    <dataField name="Suma de %" fld="13" baseField="0" baseItem="0" numFmtId="9"/>
  </dataFields>
  <formats count="4">
    <format dxfId="11">
      <pivotArea outline="0" collapsedLevelsAreSubtotals="1" fieldPosition="0">
        <references count="1">
          <reference field="4294967294" count="1" selected="0">
            <x v="1"/>
          </reference>
        </references>
      </pivotArea>
    </format>
    <format dxfId="10">
      <pivotArea dataOnly="0" labelOnly="1" outline="0" fieldPosition="0">
        <references count="1">
          <reference field="4294967294" count="1">
            <x v="1"/>
          </reference>
        </references>
      </pivotArea>
    </format>
    <format dxfId="9">
      <pivotArea outline="0" collapsedLevelsAreSubtotals="1" fieldPosition="0">
        <references count="1">
          <reference field="4294967294" count="1" selected="0">
            <x v="0"/>
          </reference>
        </references>
      </pivotArea>
    </format>
    <format dxfId="8">
      <pivotArea dataOnly="0" labelOnly="1" outline="0" fieldPosition="0">
        <references count="1">
          <reference field="4294967294" count="1">
            <x v="0"/>
          </reference>
        </references>
      </pivotArea>
    </format>
  </formats>
  <chartFormats count="6">
    <chartFormat chart="0" format="4" series="1">
      <pivotArea type="data" outline="0" fieldPosition="0">
        <references count="1">
          <reference field="4294967294" count="1" selected="0">
            <x v="0"/>
          </reference>
        </references>
      </pivotArea>
    </chartFormat>
    <chartFormat chart="0" format="5" series="1">
      <pivotArea type="data" outline="0" fieldPosition="0">
        <references count="1">
          <reference field="4294967294" count="1" selected="0">
            <x v="1"/>
          </reference>
        </references>
      </pivotArea>
    </chartFormat>
    <chartFormat chart="0" format="6">
      <pivotArea type="data" outline="0" fieldPosition="0">
        <references count="2">
          <reference field="4294967294" count="1" selected="0">
            <x v="0"/>
          </reference>
          <reference field="16" count="1" selected="0">
            <x v="0"/>
          </reference>
        </references>
      </pivotArea>
    </chartFormat>
    <chartFormat chart="0" format="7">
      <pivotArea type="data" outline="0" fieldPosition="0">
        <references count="2">
          <reference field="4294967294" count="1" selected="0">
            <x v="0"/>
          </reference>
          <reference field="16" count="1" selected="0">
            <x v="3"/>
          </reference>
        </references>
      </pivotArea>
    </chartFormat>
    <chartFormat chart="0" format="8">
      <pivotArea type="data" outline="0" fieldPosition="0">
        <references count="2">
          <reference field="4294967294" count="1" selected="0">
            <x v="1"/>
          </reference>
          <reference field="16" count="1" selected="0">
            <x v="0"/>
          </reference>
        </references>
      </pivotArea>
    </chartFormat>
    <chartFormat chart="0" format="9">
      <pivotArea type="data" outline="0" fieldPosition="0">
        <references count="2">
          <reference field="4294967294" count="1" selected="0">
            <x v="1"/>
          </reference>
          <reference field="1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185:C189" firstHeaderRow="0" firstDataRow="1" firstDataCol="1"/>
  <pivotFields count="17">
    <pivotField axis="axisRow" showAll="0">
      <items count="4">
        <item x="1"/>
        <item x="0"/>
        <item x="2"/>
        <item t="default"/>
      </items>
    </pivotField>
    <pivotField showAll="0"/>
    <pivotField showAll="0"/>
    <pivotField showAll="0"/>
    <pivotField showAll="0"/>
    <pivotField showAll="0" defaultSubtotal="0"/>
    <pivotField showAll="0"/>
    <pivotField showAll="0"/>
    <pivotField showAll="0"/>
    <pivotField showAll="0"/>
    <pivotField showAll="0"/>
    <pivotField showAll="0"/>
    <pivotField dataField="1" showAll="0"/>
    <pivotField dataField="1" numFmtId="10" showAll="0"/>
    <pivotField showAll="0"/>
    <pivotField showAll="0"/>
    <pivotField showAll="0" defaultSubtotal="0"/>
  </pivotFields>
  <rowFields count="1">
    <field x="0"/>
  </rowFields>
  <rowItems count="4">
    <i>
      <x/>
    </i>
    <i>
      <x v="1"/>
    </i>
    <i>
      <x v="2"/>
    </i>
    <i t="grand">
      <x/>
    </i>
  </rowItems>
  <colFields count="1">
    <field x="-2"/>
  </colFields>
  <colItems count="2">
    <i>
      <x/>
    </i>
    <i i="1">
      <x v="1"/>
    </i>
  </colItems>
  <dataFields count="2">
    <dataField name="Suma de TOTAL" fld="12" baseField="0" baseItem="0"/>
    <dataField name="Suma de %" fld="13" baseField="0" baseItem="0" numFmtId="9"/>
  </dataFields>
  <formats count="4">
    <format dxfId="15">
      <pivotArea outline="0" collapsedLevelsAreSubtotals="1" fieldPosition="0">
        <references count="1">
          <reference field="4294967294" count="1" selected="0">
            <x v="1"/>
          </reference>
        </references>
      </pivotArea>
    </format>
    <format dxfId="14">
      <pivotArea dataOnly="0" labelOnly="1" outline="0" fieldPosition="0">
        <references count="1">
          <reference field="4294967294" count="1">
            <x v="1"/>
          </reference>
        </references>
      </pivotArea>
    </format>
    <format dxfId="13">
      <pivotArea outline="0" collapsedLevelsAreSubtotals="1" fieldPosition="0">
        <references count="1">
          <reference field="4294967294" count="1" selected="0">
            <x v="0"/>
          </reference>
        </references>
      </pivotArea>
    </format>
    <format dxfId="12">
      <pivotArea dataOnly="0" labelOnly="1" outline="0" fieldPosition="0">
        <references count="1">
          <reference field="4294967294" count="1">
            <x v="0"/>
          </reference>
        </references>
      </pivotArea>
    </format>
  </formats>
  <chartFormats count="8">
    <chartFormat chart="0" format="2" series="1">
      <pivotArea type="data" outline="0" fieldPosition="0">
        <references count="1">
          <reference field="4294967294" count="1" selected="0">
            <x v="0"/>
          </reference>
        </references>
      </pivotArea>
    </chartFormat>
    <chartFormat chart="0" format="3" series="1">
      <pivotArea type="data" outline="0" fieldPosition="0">
        <references count="1">
          <reference field="4294967294" count="1" selected="0">
            <x v="1"/>
          </reference>
        </references>
      </pivotArea>
    </chartFormat>
    <chartFormat chart="0" format="4">
      <pivotArea type="data" outline="0" fieldPosition="0">
        <references count="2">
          <reference field="4294967294" count="1" selected="0">
            <x v="0"/>
          </reference>
          <reference field="0" count="1" selected="0">
            <x v="0"/>
          </reference>
        </references>
      </pivotArea>
    </chartFormat>
    <chartFormat chart="0" format="5">
      <pivotArea type="data" outline="0" fieldPosition="0">
        <references count="2">
          <reference field="4294967294" count="1" selected="0">
            <x v="0"/>
          </reference>
          <reference field="0" count="1" selected="0">
            <x v="1"/>
          </reference>
        </references>
      </pivotArea>
    </chartFormat>
    <chartFormat chart="0" format="6">
      <pivotArea type="data" outline="0" fieldPosition="0">
        <references count="2">
          <reference field="4294967294" count="1" selected="0">
            <x v="0"/>
          </reference>
          <reference field="0" count="1" selected="0">
            <x v="2"/>
          </reference>
        </references>
      </pivotArea>
    </chartFormat>
    <chartFormat chart="0" format="7">
      <pivotArea type="data" outline="0" fieldPosition="0">
        <references count="2">
          <reference field="4294967294" count="1" selected="0">
            <x v="1"/>
          </reference>
          <reference field="0" count="1" selected="0">
            <x v="0"/>
          </reference>
        </references>
      </pivotArea>
    </chartFormat>
    <chartFormat chart="0" format="8">
      <pivotArea type="data" outline="0" fieldPosition="0">
        <references count="2">
          <reference field="4294967294" count="1" selected="0">
            <x v="1"/>
          </reference>
          <reference field="0" count="1" selected="0">
            <x v="1"/>
          </reference>
        </references>
      </pivotArea>
    </chartFormat>
    <chartFormat chart="0" format="9">
      <pivotArea type="data" outline="0" fieldPosition="0">
        <references count="2">
          <reference field="4294967294" count="1" selected="0">
            <x v="1"/>
          </reference>
          <reference field="0"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oe.es/doue/2019/155/L00001-00019.pdf" TargetMode="External"/><Relationship Id="rId1" Type="http://schemas.openxmlformats.org/officeDocument/2006/relationships/hyperlink" Target="https://www.miteco.gob.es/es/calidad-y-evaluacion-ambiental/temas/prevencion-y-gestion-residuos/flujos/domesticos/gestion/modelo_ges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tabSelected="1" workbookViewId="0">
      <selection activeCell="J16" sqref="J16"/>
    </sheetView>
  </sheetViews>
  <sheetFormatPr baseColWidth="10" defaultRowHeight="14.4" x14ac:dyDescent="0.3"/>
  <sheetData>
    <row r="2" spans="1:1" x14ac:dyDescent="0.3">
      <c r="A2" s="236" t="s">
        <v>362</v>
      </c>
    </row>
    <row r="3" spans="1:1" x14ac:dyDescent="0.3">
      <c r="A3" t="s">
        <v>358</v>
      </c>
    </row>
    <row r="4" spans="1:1" x14ac:dyDescent="0.3">
      <c r="A4" t="s">
        <v>357</v>
      </c>
    </row>
    <row r="5" spans="1:1" x14ac:dyDescent="0.3">
      <c r="A5" t="s">
        <v>359</v>
      </c>
    </row>
    <row r="6" spans="1:1" x14ac:dyDescent="0.3">
      <c r="A6" t="s">
        <v>360</v>
      </c>
    </row>
    <row r="7" spans="1:1" x14ac:dyDescent="0.3">
      <c r="A7" t="s">
        <v>361</v>
      </c>
    </row>
    <row r="8" spans="1:1" x14ac:dyDescent="0.3">
      <c r="A8" t="s">
        <v>363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7"/>
  <sheetViews>
    <sheetView zoomScale="80" zoomScaleNormal="80" workbookViewId="0">
      <selection activeCell="I16" sqref="I16"/>
    </sheetView>
  </sheetViews>
  <sheetFormatPr baseColWidth="10" defaultColWidth="11.44140625" defaultRowHeight="13.8" x14ac:dyDescent="0.3"/>
  <cols>
    <col min="1" max="1" width="37" style="33" customWidth="1"/>
    <col min="2" max="2" width="25.5546875" style="151" customWidth="1"/>
    <col min="3" max="3" width="11" style="33" customWidth="1"/>
    <col min="4" max="4" width="47.5546875" style="33" customWidth="1"/>
    <col min="5" max="5" width="47.5546875" style="33" hidden="1" customWidth="1"/>
    <col min="6" max="6" width="47.5546875" style="33" customWidth="1"/>
    <col min="7" max="13" width="11.44140625" style="33"/>
    <col min="14" max="14" width="11.44140625" style="40"/>
    <col min="15" max="15" width="11.44140625" style="33"/>
    <col min="16" max="16" width="31.88671875" style="96" customWidth="1"/>
    <col min="17" max="17" width="12.109375" style="96" customWidth="1"/>
    <col min="18" max="16384" width="11.44140625" style="33"/>
  </cols>
  <sheetData>
    <row r="1" spans="1:17" x14ac:dyDescent="0.3">
      <c r="A1" s="43" t="s">
        <v>114</v>
      </c>
      <c r="B1" s="136" t="s">
        <v>103</v>
      </c>
    </row>
    <row r="2" spans="1:17" x14ac:dyDescent="0.3">
      <c r="A2" s="43" t="s">
        <v>110</v>
      </c>
      <c r="B2" s="137" t="s">
        <v>321</v>
      </c>
    </row>
    <row r="3" spans="1:17" ht="13.5" customHeight="1" x14ac:dyDescent="0.3">
      <c r="A3" s="43" t="s">
        <v>65</v>
      </c>
      <c r="B3" s="137" t="s">
        <v>336</v>
      </c>
    </row>
    <row r="4" spans="1:17" ht="13.5" customHeight="1" x14ac:dyDescent="0.3">
      <c r="A4" s="43" t="s">
        <v>5</v>
      </c>
      <c r="B4" s="137" t="s">
        <v>345</v>
      </c>
    </row>
    <row r="5" spans="1:17" x14ac:dyDescent="0.3">
      <c r="A5" s="43" t="s">
        <v>61</v>
      </c>
      <c r="B5" s="138">
        <v>5200</v>
      </c>
    </row>
    <row r="6" spans="1:17" ht="14.4" x14ac:dyDescent="0.3">
      <c r="A6" s="43" t="s">
        <v>7</v>
      </c>
      <c r="B6" s="139" t="s">
        <v>103</v>
      </c>
    </row>
    <row r="7" spans="1:17" ht="13.5" customHeight="1" x14ac:dyDescent="0.3">
      <c r="A7" s="43" t="s">
        <v>62</v>
      </c>
      <c r="B7" s="139" t="s">
        <v>347</v>
      </c>
    </row>
    <row r="8" spans="1:17" ht="13.5" customHeight="1" x14ac:dyDescent="0.3">
      <c r="A8" s="43" t="s">
        <v>3</v>
      </c>
      <c r="B8" s="140" t="s">
        <v>351</v>
      </c>
    </row>
    <row r="9" spans="1:17" ht="13.5" customHeight="1" x14ac:dyDescent="0.3">
      <c r="A9" s="43" t="s">
        <v>4</v>
      </c>
      <c r="B9" s="141">
        <v>45071.4375</v>
      </c>
    </row>
    <row r="10" spans="1:17" ht="13.5" customHeight="1" x14ac:dyDescent="0.3">
      <c r="A10" s="43" t="s">
        <v>6</v>
      </c>
      <c r="B10" s="139" t="s">
        <v>347</v>
      </c>
    </row>
    <row r="11" spans="1:17" ht="13.5" customHeight="1" x14ac:dyDescent="0.3">
      <c r="A11" s="43" t="s">
        <v>8</v>
      </c>
      <c r="B11" s="139" t="s">
        <v>352</v>
      </c>
    </row>
    <row r="12" spans="1:17" ht="13.5" customHeight="1" x14ac:dyDescent="0.3">
      <c r="A12" s="43" t="s">
        <v>63</v>
      </c>
      <c r="B12" s="139" t="s">
        <v>353</v>
      </c>
    </row>
    <row r="13" spans="1:17" ht="13.5" customHeight="1" x14ac:dyDescent="0.3">
      <c r="A13" s="43" t="s">
        <v>64</v>
      </c>
      <c r="B13" s="139">
        <v>0</v>
      </c>
    </row>
    <row r="14" spans="1:17" ht="13.5" customHeight="1" x14ac:dyDescent="0.3">
      <c r="A14" s="43" t="s">
        <v>111</v>
      </c>
      <c r="B14" s="139">
        <f>SUM($M$16:$M$177)</f>
        <v>15367.000000000024</v>
      </c>
    </row>
    <row r="15" spans="1:17" s="38" customFormat="1" ht="13.5" customHeight="1" x14ac:dyDescent="0.3">
      <c r="A15" s="37" t="s">
        <v>85</v>
      </c>
      <c r="B15" s="142" t="s">
        <v>86</v>
      </c>
      <c r="C15" s="37" t="s">
        <v>87</v>
      </c>
      <c r="D15" s="37" t="s">
        <v>88</v>
      </c>
      <c r="E15" s="37" t="s">
        <v>125</v>
      </c>
      <c r="F15" s="37" t="s">
        <v>350</v>
      </c>
      <c r="G15" s="37" t="s">
        <v>92</v>
      </c>
      <c r="H15" s="37" t="s">
        <v>93</v>
      </c>
      <c r="I15" s="37" t="s">
        <v>94</v>
      </c>
      <c r="J15" s="37" t="s">
        <v>95</v>
      </c>
      <c r="K15" s="37" t="s">
        <v>96</v>
      </c>
      <c r="L15" s="37" t="s">
        <v>97</v>
      </c>
      <c r="M15" s="37" t="s">
        <v>98</v>
      </c>
      <c r="N15" s="39" t="s">
        <v>13</v>
      </c>
      <c r="O15" s="37" t="s">
        <v>102</v>
      </c>
      <c r="P15" s="97" t="s">
        <v>109</v>
      </c>
      <c r="Q15" s="131" t="s">
        <v>349</v>
      </c>
    </row>
    <row r="16" spans="1:17" ht="27.6" x14ac:dyDescent="0.3">
      <c r="A16" s="43" t="s">
        <v>11</v>
      </c>
      <c r="B16" s="143" t="s">
        <v>14</v>
      </c>
      <c r="C16" s="41"/>
      <c r="D16" s="46" t="s">
        <v>15</v>
      </c>
      <c r="E16" s="46" t="str">
        <f>A16&amp;" "&amp;B16&amp;" "&amp;C16&amp;" "&amp;D16</f>
        <v>DOMÉSTICOS Papel – cartón  Papel y Cartón envase (Con Pto. Verde)</v>
      </c>
      <c r="F16" s="46" t="s">
        <v>128</v>
      </c>
      <c r="G16" s="41">
        <v>1</v>
      </c>
      <c r="H16" s="41">
        <v>15.2</v>
      </c>
      <c r="I16" s="41">
        <v>25.6</v>
      </c>
      <c r="J16" s="41"/>
      <c r="K16" s="41"/>
      <c r="L16" s="41"/>
      <c r="M16" s="41">
        <f>SUM(H16:L16)-(G16*O16)</f>
        <v>38.799999999999997</v>
      </c>
      <c r="N16" s="47">
        <f t="shared" ref="N16:N47" si="0">M16/SUM($M$16:$M$177)</f>
        <v>2.5248910001952193E-3</v>
      </c>
      <c r="O16" s="41">
        <f>COUNT(H16:L16)</f>
        <v>2</v>
      </c>
      <c r="P16" s="98"/>
      <c r="Q16" s="129" t="s">
        <v>104</v>
      </c>
    </row>
    <row r="17" spans="1:17" ht="27.6" x14ac:dyDescent="0.3">
      <c r="A17" s="43" t="s">
        <v>11</v>
      </c>
      <c r="B17" s="143" t="s">
        <v>14</v>
      </c>
      <c r="C17" s="41"/>
      <c r="D17" s="46" t="s">
        <v>16</v>
      </c>
      <c r="E17" s="46" t="str">
        <f t="shared" ref="E17:E80" si="1">A17&amp;" "&amp;B17&amp;" "&amp;C17&amp;" "&amp;D17</f>
        <v>DOMÉSTICOS Papel – cartón  Papel y Cartón envase (Sin Pto. Verde)</v>
      </c>
      <c r="F17" s="46" t="s">
        <v>129</v>
      </c>
      <c r="G17" s="41">
        <v>1</v>
      </c>
      <c r="H17" s="41">
        <f>H16+1</f>
        <v>16.2</v>
      </c>
      <c r="I17" s="41">
        <v>2</v>
      </c>
      <c r="J17" s="41">
        <v>1</v>
      </c>
      <c r="K17" s="41"/>
      <c r="L17" s="41"/>
      <c r="M17" s="41">
        <f>SUM(H17:L17)-(G17*O17)</f>
        <v>16.2</v>
      </c>
      <c r="N17" s="47">
        <f t="shared" si="0"/>
        <v>1.0542070670918184E-3</v>
      </c>
      <c r="O17" s="41">
        <f t="shared" ref="O17:O69" si="2">COUNT(H17:L17)</f>
        <v>3</v>
      </c>
      <c r="P17" s="98"/>
      <c r="Q17" s="129" t="s">
        <v>104</v>
      </c>
    </row>
    <row r="18" spans="1:17" ht="13.5" customHeight="1" x14ac:dyDescent="0.3">
      <c r="A18" s="43" t="s">
        <v>11</v>
      </c>
      <c r="B18" s="143" t="s">
        <v>14</v>
      </c>
      <c r="C18" s="41"/>
      <c r="D18" s="46" t="s">
        <v>17</v>
      </c>
      <c r="E18" s="46" t="str">
        <f t="shared" si="1"/>
        <v>DOMÉSTICOS Papel – cartón  Papel/Cartón No Envase</v>
      </c>
      <c r="F18" s="46" t="s">
        <v>130</v>
      </c>
      <c r="G18" s="41">
        <v>1</v>
      </c>
      <c r="H18" s="41">
        <f t="shared" ref="H18:H81" si="3">H17+1</f>
        <v>17.2</v>
      </c>
      <c r="I18" s="41"/>
      <c r="J18" s="41"/>
      <c r="K18" s="41"/>
      <c r="L18" s="41"/>
      <c r="M18" s="41">
        <f t="shared" ref="M18:M69" si="4">SUM(H18:L18)-(G18*O18)</f>
        <v>16.2</v>
      </c>
      <c r="N18" s="47">
        <f t="shared" si="0"/>
        <v>1.0542070670918184E-3</v>
      </c>
      <c r="O18" s="41">
        <f t="shared" si="2"/>
        <v>1</v>
      </c>
      <c r="P18" s="98"/>
      <c r="Q18" s="129" t="s">
        <v>104</v>
      </c>
    </row>
    <row r="19" spans="1:17" x14ac:dyDescent="0.3">
      <c r="A19" s="43" t="s">
        <v>11</v>
      </c>
      <c r="B19" s="144" t="s">
        <v>18</v>
      </c>
      <c r="C19" s="48"/>
      <c r="D19" s="49" t="s">
        <v>19</v>
      </c>
      <c r="E19" s="49" t="str">
        <f t="shared" si="1"/>
        <v>DOMÉSTICOS Brik  Envase</v>
      </c>
      <c r="F19" s="49" t="s">
        <v>131</v>
      </c>
      <c r="G19" s="48">
        <v>1</v>
      </c>
      <c r="H19" s="48">
        <f t="shared" si="3"/>
        <v>18.2</v>
      </c>
      <c r="I19" s="48"/>
      <c r="J19" s="48"/>
      <c r="K19" s="48"/>
      <c r="L19" s="48"/>
      <c r="M19" s="48">
        <f t="shared" si="4"/>
        <v>17.2</v>
      </c>
      <c r="N19" s="50">
        <f t="shared" si="0"/>
        <v>1.1192815774061283E-3</v>
      </c>
      <c r="O19" s="48">
        <f t="shared" si="2"/>
        <v>1</v>
      </c>
      <c r="P19" s="99"/>
      <c r="Q19" s="129" t="s">
        <v>104</v>
      </c>
    </row>
    <row r="20" spans="1:17" x14ac:dyDescent="0.3">
      <c r="A20" s="43" t="s">
        <v>11</v>
      </c>
      <c r="B20" s="145" t="s">
        <v>51</v>
      </c>
      <c r="C20" s="44"/>
      <c r="D20" s="51" t="s">
        <v>19</v>
      </c>
      <c r="E20" s="51" t="str">
        <f t="shared" si="1"/>
        <v>DOMÉSTICOS Vidrio   Envase</v>
      </c>
      <c r="F20" s="51" t="s">
        <v>132</v>
      </c>
      <c r="G20" s="44">
        <v>1</v>
      </c>
      <c r="H20" s="44">
        <f t="shared" si="3"/>
        <v>19.2</v>
      </c>
      <c r="I20" s="44"/>
      <c r="J20" s="44"/>
      <c r="K20" s="44"/>
      <c r="L20" s="44"/>
      <c r="M20" s="44">
        <f t="shared" si="4"/>
        <v>18.2</v>
      </c>
      <c r="N20" s="52">
        <f t="shared" si="0"/>
        <v>1.184356087720438E-3</v>
      </c>
      <c r="O20" s="44">
        <f t="shared" si="2"/>
        <v>1</v>
      </c>
      <c r="P20" s="100"/>
      <c r="Q20" s="129" t="s">
        <v>104</v>
      </c>
    </row>
    <row r="21" spans="1:17" x14ac:dyDescent="0.3">
      <c r="A21" s="43" t="s">
        <v>11</v>
      </c>
      <c r="B21" s="145" t="s">
        <v>51</v>
      </c>
      <c r="C21" s="44"/>
      <c r="D21" s="51" t="s">
        <v>20</v>
      </c>
      <c r="E21" s="51" t="str">
        <f t="shared" si="1"/>
        <v>DOMÉSTICOS Vidrio   No envase</v>
      </c>
      <c r="F21" s="51" t="s">
        <v>133</v>
      </c>
      <c r="G21" s="44">
        <v>1</v>
      </c>
      <c r="H21" s="44">
        <f t="shared" si="3"/>
        <v>20.2</v>
      </c>
      <c r="I21" s="44"/>
      <c r="J21" s="44"/>
      <c r="K21" s="44"/>
      <c r="L21" s="44"/>
      <c r="M21" s="44">
        <f t="shared" si="4"/>
        <v>19.2</v>
      </c>
      <c r="N21" s="52">
        <f t="shared" si="0"/>
        <v>1.2494305980347477E-3</v>
      </c>
      <c r="O21" s="44">
        <f t="shared" si="2"/>
        <v>1</v>
      </c>
      <c r="P21" s="100"/>
      <c r="Q21" s="129" t="s">
        <v>104</v>
      </c>
    </row>
    <row r="22" spans="1:17" x14ac:dyDescent="0.3">
      <c r="A22" s="43" t="s">
        <v>11</v>
      </c>
      <c r="B22" s="146" t="s">
        <v>21</v>
      </c>
      <c r="C22" s="42" t="s">
        <v>22</v>
      </c>
      <c r="D22" s="55" t="s">
        <v>19</v>
      </c>
      <c r="E22" s="55" t="str">
        <f t="shared" si="1"/>
        <v>DOMÉSTICOS Metales férricos Acero Envase</v>
      </c>
      <c r="F22" s="55" t="s">
        <v>134</v>
      </c>
      <c r="G22" s="42">
        <v>1</v>
      </c>
      <c r="H22" s="42">
        <f t="shared" si="3"/>
        <v>21.2</v>
      </c>
      <c r="I22" s="42"/>
      <c r="J22" s="42"/>
      <c r="K22" s="42"/>
      <c r="L22" s="42"/>
      <c r="M22" s="42">
        <f t="shared" si="4"/>
        <v>20.2</v>
      </c>
      <c r="N22" s="56">
        <f t="shared" si="0"/>
        <v>1.3145051083490577E-3</v>
      </c>
      <c r="O22" s="42">
        <f t="shared" si="2"/>
        <v>1</v>
      </c>
      <c r="P22" s="101"/>
      <c r="Q22" s="129" t="s">
        <v>104</v>
      </c>
    </row>
    <row r="23" spans="1:17" x14ac:dyDescent="0.3">
      <c r="A23" s="43" t="s">
        <v>11</v>
      </c>
      <c r="B23" s="146" t="s">
        <v>21</v>
      </c>
      <c r="C23" s="42" t="s">
        <v>22</v>
      </c>
      <c r="D23" s="55" t="s">
        <v>20</v>
      </c>
      <c r="E23" s="55" t="str">
        <f t="shared" si="1"/>
        <v>DOMÉSTICOS Metales férricos Acero No envase</v>
      </c>
      <c r="F23" s="55" t="s">
        <v>135</v>
      </c>
      <c r="G23" s="42">
        <v>1</v>
      </c>
      <c r="H23" s="42">
        <f t="shared" si="3"/>
        <v>22.2</v>
      </c>
      <c r="I23" s="42"/>
      <c r="J23" s="42"/>
      <c r="K23" s="42"/>
      <c r="L23" s="42"/>
      <c r="M23" s="42">
        <f t="shared" si="4"/>
        <v>21.2</v>
      </c>
      <c r="N23" s="56">
        <f t="shared" si="0"/>
        <v>1.3795796186633674E-3</v>
      </c>
      <c r="O23" s="42">
        <f t="shared" si="2"/>
        <v>1</v>
      </c>
      <c r="P23" s="101"/>
      <c r="Q23" s="92" t="s">
        <v>105</v>
      </c>
    </row>
    <row r="24" spans="1:17" x14ac:dyDescent="0.3">
      <c r="A24" s="43" t="s">
        <v>11</v>
      </c>
      <c r="B24" s="146" t="s">
        <v>23</v>
      </c>
      <c r="C24" s="42" t="s">
        <v>24</v>
      </c>
      <c r="D24" s="55" t="s">
        <v>19</v>
      </c>
      <c r="E24" s="55" t="str">
        <f t="shared" si="1"/>
        <v>DOMÉSTICOS Metales no férricos Aluminio Envase</v>
      </c>
      <c r="F24" s="55" t="s">
        <v>136</v>
      </c>
      <c r="G24" s="42">
        <v>1</v>
      </c>
      <c r="H24" s="42">
        <f t="shared" si="3"/>
        <v>23.2</v>
      </c>
      <c r="I24" s="42"/>
      <c r="J24" s="42"/>
      <c r="K24" s="42"/>
      <c r="L24" s="42"/>
      <c r="M24" s="42">
        <f t="shared" si="4"/>
        <v>22.2</v>
      </c>
      <c r="N24" s="56">
        <f t="shared" si="0"/>
        <v>1.4446541289776771E-3</v>
      </c>
      <c r="O24" s="42">
        <f t="shared" si="2"/>
        <v>1</v>
      </c>
      <c r="P24" s="101"/>
      <c r="Q24" s="129" t="s">
        <v>104</v>
      </c>
    </row>
    <row r="25" spans="1:17" x14ac:dyDescent="0.3">
      <c r="A25" s="43" t="s">
        <v>11</v>
      </c>
      <c r="B25" s="146" t="s">
        <v>23</v>
      </c>
      <c r="C25" s="42" t="s">
        <v>24</v>
      </c>
      <c r="D25" s="55" t="s">
        <v>20</v>
      </c>
      <c r="E25" s="55" t="str">
        <f t="shared" si="1"/>
        <v>DOMÉSTICOS Metales no férricos Aluminio No envase</v>
      </c>
      <c r="F25" s="55" t="s">
        <v>137</v>
      </c>
      <c r="G25" s="42">
        <v>1</v>
      </c>
      <c r="H25" s="42">
        <f t="shared" si="3"/>
        <v>24.2</v>
      </c>
      <c r="I25" s="42"/>
      <c r="J25" s="42"/>
      <c r="K25" s="42"/>
      <c r="L25" s="42"/>
      <c r="M25" s="42">
        <f t="shared" si="4"/>
        <v>23.2</v>
      </c>
      <c r="N25" s="56">
        <f t="shared" si="0"/>
        <v>1.5097286392919869E-3</v>
      </c>
      <c r="O25" s="42">
        <f t="shared" si="2"/>
        <v>1</v>
      </c>
      <c r="P25" s="101"/>
      <c r="Q25" s="92" t="s">
        <v>105</v>
      </c>
    </row>
    <row r="26" spans="1:17" x14ac:dyDescent="0.3">
      <c r="A26" s="43" t="s">
        <v>11</v>
      </c>
      <c r="B26" s="147" t="s">
        <v>25</v>
      </c>
      <c r="C26" s="57"/>
      <c r="D26" s="58" t="s">
        <v>19</v>
      </c>
      <c r="E26" s="58" t="str">
        <f t="shared" si="1"/>
        <v>DOMÉSTICOS Madera  Envase</v>
      </c>
      <c r="F26" s="58" t="s">
        <v>138</v>
      </c>
      <c r="G26" s="57">
        <v>1</v>
      </c>
      <c r="H26" s="57">
        <f t="shared" si="3"/>
        <v>25.2</v>
      </c>
      <c r="I26" s="57"/>
      <c r="J26" s="57"/>
      <c r="K26" s="57"/>
      <c r="L26" s="57"/>
      <c r="M26" s="57">
        <f t="shared" si="4"/>
        <v>24.2</v>
      </c>
      <c r="N26" s="59">
        <f t="shared" si="0"/>
        <v>1.5748031496062968E-3</v>
      </c>
      <c r="O26" s="57">
        <f t="shared" si="2"/>
        <v>1</v>
      </c>
      <c r="P26" s="102"/>
      <c r="Q26" s="129" t="s">
        <v>104</v>
      </c>
    </row>
    <row r="27" spans="1:17" x14ac:dyDescent="0.3">
      <c r="A27" s="43" t="s">
        <v>11</v>
      </c>
      <c r="B27" s="147" t="s">
        <v>25</v>
      </c>
      <c r="C27" s="57"/>
      <c r="D27" s="58" t="s">
        <v>20</v>
      </c>
      <c r="E27" s="58" t="str">
        <f t="shared" si="1"/>
        <v>DOMÉSTICOS Madera  No envase</v>
      </c>
      <c r="F27" s="58" t="s">
        <v>139</v>
      </c>
      <c r="G27" s="57">
        <v>1</v>
      </c>
      <c r="H27" s="57">
        <f t="shared" si="3"/>
        <v>26.2</v>
      </c>
      <c r="I27" s="57"/>
      <c r="J27" s="57"/>
      <c r="K27" s="57"/>
      <c r="L27" s="57"/>
      <c r="M27" s="57">
        <f t="shared" si="4"/>
        <v>25.2</v>
      </c>
      <c r="N27" s="59">
        <f t="shared" si="0"/>
        <v>1.6398776599206065E-3</v>
      </c>
      <c r="O27" s="57">
        <f t="shared" si="2"/>
        <v>1</v>
      </c>
      <c r="P27" s="102"/>
      <c r="Q27" s="92" t="s">
        <v>105</v>
      </c>
    </row>
    <row r="28" spans="1:17" x14ac:dyDescent="0.3">
      <c r="A28" s="43" t="s">
        <v>11</v>
      </c>
      <c r="B28" s="144" t="s">
        <v>89</v>
      </c>
      <c r="C28" s="49" t="s">
        <v>27</v>
      </c>
      <c r="D28" s="49" t="s">
        <v>19</v>
      </c>
      <c r="E28" s="49" t="str">
        <f t="shared" si="1"/>
        <v>DOMÉSTICOS Plásticos (excepto SUP*) PET  Envase</v>
      </c>
      <c r="F28" s="49" t="s">
        <v>140</v>
      </c>
      <c r="G28" s="48">
        <v>1</v>
      </c>
      <c r="H28" s="48">
        <f t="shared" si="3"/>
        <v>27.2</v>
      </c>
      <c r="I28" s="48"/>
      <c r="J28" s="48"/>
      <c r="K28" s="48"/>
      <c r="L28" s="48"/>
      <c r="M28" s="48">
        <f t="shared" si="4"/>
        <v>26.2</v>
      </c>
      <c r="N28" s="50">
        <f t="shared" si="0"/>
        <v>1.7049521702349163E-3</v>
      </c>
      <c r="O28" s="48">
        <f t="shared" si="2"/>
        <v>1</v>
      </c>
      <c r="P28" s="99"/>
      <c r="Q28" s="129" t="s">
        <v>104</v>
      </c>
    </row>
    <row r="29" spans="1:17" x14ac:dyDescent="0.3">
      <c r="A29" s="43" t="s">
        <v>11</v>
      </c>
      <c r="B29" s="144" t="s">
        <v>89</v>
      </c>
      <c r="C29" s="49" t="s">
        <v>27</v>
      </c>
      <c r="D29" s="49" t="s">
        <v>20</v>
      </c>
      <c r="E29" s="49" t="str">
        <f t="shared" si="1"/>
        <v>DOMÉSTICOS Plásticos (excepto SUP*) PET  No envase</v>
      </c>
      <c r="F29" s="49" t="s">
        <v>141</v>
      </c>
      <c r="G29" s="48">
        <v>1</v>
      </c>
      <c r="H29" s="48">
        <f t="shared" si="3"/>
        <v>28.2</v>
      </c>
      <c r="I29" s="48"/>
      <c r="J29" s="48"/>
      <c r="K29" s="48"/>
      <c r="L29" s="48"/>
      <c r="M29" s="48">
        <f t="shared" si="4"/>
        <v>27.2</v>
      </c>
      <c r="N29" s="50">
        <f t="shared" si="0"/>
        <v>1.7700266805492262E-3</v>
      </c>
      <c r="O29" s="48">
        <f t="shared" si="2"/>
        <v>1</v>
      </c>
      <c r="P29" s="99"/>
      <c r="Q29" s="92" t="s">
        <v>105</v>
      </c>
    </row>
    <row r="30" spans="1:17" x14ac:dyDescent="0.3">
      <c r="A30" s="43" t="s">
        <v>11</v>
      </c>
      <c r="B30" s="144" t="s">
        <v>89</v>
      </c>
      <c r="C30" s="49" t="s">
        <v>59</v>
      </c>
      <c r="D30" s="49" t="s">
        <v>19</v>
      </c>
      <c r="E30" s="49" t="str">
        <f t="shared" si="1"/>
        <v>DOMÉSTICOS Plásticos (excepto SUP*) PEAD Envase</v>
      </c>
      <c r="F30" s="49" t="s">
        <v>142</v>
      </c>
      <c r="G30" s="48">
        <v>1</v>
      </c>
      <c r="H30" s="48">
        <f t="shared" si="3"/>
        <v>29.2</v>
      </c>
      <c r="I30" s="48"/>
      <c r="J30" s="48"/>
      <c r="K30" s="48"/>
      <c r="L30" s="48"/>
      <c r="M30" s="48">
        <f t="shared" si="4"/>
        <v>28.2</v>
      </c>
      <c r="N30" s="50">
        <f t="shared" si="0"/>
        <v>1.8351011908635359E-3</v>
      </c>
      <c r="O30" s="48">
        <f t="shared" si="2"/>
        <v>1</v>
      </c>
      <c r="P30" s="99"/>
      <c r="Q30" s="129" t="s">
        <v>104</v>
      </c>
    </row>
    <row r="31" spans="1:17" x14ac:dyDescent="0.3">
      <c r="A31" s="43" t="s">
        <v>11</v>
      </c>
      <c r="B31" s="144" t="s">
        <v>89</v>
      </c>
      <c r="C31" s="49" t="s">
        <v>59</v>
      </c>
      <c r="D31" s="49" t="s">
        <v>20</v>
      </c>
      <c r="E31" s="49" t="str">
        <f t="shared" si="1"/>
        <v>DOMÉSTICOS Plásticos (excepto SUP*) PEAD No envase</v>
      </c>
      <c r="F31" s="49" t="s">
        <v>143</v>
      </c>
      <c r="G31" s="48">
        <v>1</v>
      </c>
      <c r="H31" s="48">
        <f t="shared" si="3"/>
        <v>30.2</v>
      </c>
      <c r="I31" s="48"/>
      <c r="J31" s="48"/>
      <c r="K31" s="48"/>
      <c r="L31" s="48"/>
      <c r="M31" s="48">
        <f t="shared" si="4"/>
        <v>29.2</v>
      </c>
      <c r="N31" s="50">
        <f t="shared" si="0"/>
        <v>1.9001757011778456E-3</v>
      </c>
      <c r="O31" s="48">
        <f t="shared" si="2"/>
        <v>1</v>
      </c>
      <c r="P31" s="99"/>
      <c r="Q31" s="92" t="s">
        <v>105</v>
      </c>
    </row>
    <row r="32" spans="1:17" x14ac:dyDescent="0.3">
      <c r="A32" s="43" t="s">
        <v>11</v>
      </c>
      <c r="B32" s="144" t="s">
        <v>89</v>
      </c>
      <c r="C32" s="49" t="s">
        <v>60</v>
      </c>
      <c r="D32" s="49" t="s">
        <v>19</v>
      </c>
      <c r="E32" s="49" t="str">
        <f t="shared" si="1"/>
        <v>DOMÉSTICOS Plásticos (excepto SUP*) PEBD Envase</v>
      </c>
      <c r="F32" s="49" t="s">
        <v>144</v>
      </c>
      <c r="G32" s="48">
        <v>1</v>
      </c>
      <c r="H32" s="48">
        <f t="shared" si="3"/>
        <v>31.2</v>
      </c>
      <c r="I32" s="48"/>
      <c r="J32" s="48"/>
      <c r="K32" s="48"/>
      <c r="L32" s="48"/>
      <c r="M32" s="48">
        <f t="shared" si="4"/>
        <v>30.2</v>
      </c>
      <c r="N32" s="50">
        <f t="shared" si="0"/>
        <v>1.9652502114921554E-3</v>
      </c>
      <c r="O32" s="48">
        <f t="shared" si="2"/>
        <v>1</v>
      </c>
      <c r="P32" s="99"/>
      <c r="Q32" s="129" t="s">
        <v>104</v>
      </c>
    </row>
    <row r="33" spans="1:17" x14ac:dyDescent="0.3">
      <c r="A33" s="43" t="s">
        <v>11</v>
      </c>
      <c r="B33" s="144" t="s">
        <v>89</v>
      </c>
      <c r="C33" s="49" t="s">
        <v>60</v>
      </c>
      <c r="D33" s="49" t="s">
        <v>20</v>
      </c>
      <c r="E33" s="49" t="str">
        <f t="shared" si="1"/>
        <v>DOMÉSTICOS Plásticos (excepto SUP*) PEBD No envase</v>
      </c>
      <c r="F33" s="49" t="s">
        <v>145</v>
      </c>
      <c r="G33" s="48">
        <v>1</v>
      </c>
      <c r="H33" s="48">
        <f t="shared" si="3"/>
        <v>32.200000000000003</v>
      </c>
      <c r="I33" s="48"/>
      <c r="J33" s="48"/>
      <c r="K33" s="48"/>
      <c r="L33" s="48"/>
      <c r="M33" s="48">
        <f t="shared" si="4"/>
        <v>31.200000000000003</v>
      </c>
      <c r="N33" s="50">
        <f t="shared" si="0"/>
        <v>2.0303247218064653E-3</v>
      </c>
      <c r="O33" s="48">
        <f t="shared" si="2"/>
        <v>1</v>
      </c>
      <c r="P33" s="99"/>
      <c r="Q33" s="92" t="s">
        <v>105</v>
      </c>
    </row>
    <row r="34" spans="1:17" x14ac:dyDescent="0.3">
      <c r="A34" s="43" t="s">
        <v>11</v>
      </c>
      <c r="B34" s="144" t="s">
        <v>89</v>
      </c>
      <c r="C34" s="49" t="s">
        <v>29</v>
      </c>
      <c r="D34" s="49" t="s">
        <v>19</v>
      </c>
      <c r="E34" s="49" t="str">
        <f t="shared" si="1"/>
        <v>DOMÉSTICOS Plásticos (excepto SUP*) PVC Envase</v>
      </c>
      <c r="F34" s="49" t="s">
        <v>146</v>
      </c>
      <c r="G34" s="48">
        <v>1</v>
      </c>
      <c r="H34" s="48">
        <f t="shared" si="3"/>
        <v>33.200000000000003</v>
      </c>
      <c r="I34" s="48"/>
      <c r="J34" s="48"/>
      <c r="K34" s="48"/>
      <c r="L34" s="48"/>
      <c r="M34" s="48">
        <f t="shared" si="4"/>
        <v>32.200000000000003</v>
      </c>
      <c r="N34" s="50">
        <f t="shared" si="0"/>
        <v>2.0953992321207753E-3</v>
      </c>
      <c r="O34" s="48">
        <f t="shared" si="2"/>
        <v>1</v>
      </c>
      <c r="P34" s="99"/>
      <c r="Q34" s="129" t="s">
        <v>104</v>
      </c>
    </row>
    <row r="35" spans="1:17" x14ac:dyDescent="0.3">
      <c r="A35" s="43" t="s">
        <v>11</v>
      </c>
      <c r="B35" s="144" t="s">
        <v>89</v>
      </c>
      <c r="C35" s="49" t="s">
        <v>29</v>
      </c>
      <c r="D35" s="49" t="s">
        <v>20</v>
      </c>
      <c r="E35" s="49" t="str">
        <f t="shared" si="1"/>
        <v>DOMÉSTICOS Plásticos (excepto SUP*) PVC No envase</v>
      </c>
      <c r="F35" s="49" t="s">
        <v>147</v>
      </c>
      <c r="G35" s="48">
        <v>1</v>
      </c>
      <c r="H35" s="48">
        <f t="shared" si="3"/>
        <v>34.200000000000003</v>
      </c>
      <c r="I35" s="48"/>
      <c r="J35" s="48"/>
      <c r="K35" s="48"/>
      <c r="L35" s="48"/>
      <c r="M35" s="48">
        <f t="shared" si="4"/>
        <v>33.200000000000003</v>
      </c>
      <c r="N35" s="50">
        <f t="shared" si="0"/>
        <v>2.1604737424350852E-3</v>
      </c>
      <c r="O35" s="48">
        <f t="shared" si="2"/>
        <v>1</v>
      </c>
      <c r="P35" s="99"/>
      <c r="Q35" s="92" t="s">
        <v>105</v>
      </c>
    </row>
    <row r="36" spans="1:17" x14ac:dyDescent="0.3">
      <c r="A36" s="43" t="s">
        <v>11</v>
      </c>
      <c r="B36" s="144" t="s">
        <v>89</v>
      </c>
      <c r="C36" s="49" t="s">
        <v>30</v>
      </c>
      <c r="D36" s="49" t="s">
        <v>19</v>
      </c>
      <c r="E36" s="49" t="str">
        <f t="shared" si="1"/>
        <v>DOMÉSTICOS Plásticos (excepto SUP*) PP Envase</v>
      </c>
      <c r="F36" s="49" t="s">
        <v>148</v>
      </c>
      <c r="G36" s="48">
        <v>1</v>
      </c>
      <c r="H36" s="48">
        <f t="shared" si="3"/>
        <v>35.200000000000003</v>
      </c>
      <c r="I36" s="48"/>
      <c r="J36" s="48"/>
      <c r="K36" s="48"/>
      <c r="L36" s="48"/>
      <c r="M36" s="48">
        <f t="shared" si="4"/>
        <v>34.200000000000003</v>
      </c>
      <c r="N36" s="50">
        <f t="shared" si="0"/>
        <v>2.2255482527493947E-3</v>
      </c>
      <c r="O36" s="48">
        <f t="shared" si="2"/>
        <v>1</v>
      </c>
      <c r="P36" s="99"/>
      <c r="Q36" s="129" t="s">
        <v>104</v>
      </c>
    </row>
    <row r="37" spans="1:17" x14ac:dyDescent="0.3">
      <c r="A37" s="43" t="s">
        <v>11</v>
      </c>
      <c r="B37" s="144" t="s">
        <v>89</v>
      </c>
      <c r="C37" s="49" t="s">
        <v>30</v>
      </c>
      <c r="D37" s="49" t="s">
        <v>20</v>
      </c>
      <c r="E37" s="49" t="str">
        <f t="shared" si="1"/>
        <v>DOMÉSTICOS Plásticos (excepto SUP*) PP No envase</v>
      </c>
      <c r="F37" s="49" t="s">
        <v>149</v>
      </c>
      <c r="G37" s="48">
        <v>1</v>
      </c>
      <c r="H37" s="48">
        <f t="shared" si="3"/>
        <v>36.200000000000003</v>
      </c>
      <c r="I37" s="48"/>
      <c r="J37" s="48"/>
      <c r="K37" s="48"/>
      <c r="L37" s="48"/>
      <c r="M37" s="48">
        <f t="shared" si="4"/>
        <v>35.200000000000003</v>
      </c>
      <c r="N37" s="50">
        <f t="shared" si="0"/>
        <v>2.2906227630637046E-3</v>
      </c>
      <c r="O37" s="48">
        <f t="shared" si="2"/>
        <v>1</v>
      </c>
      <c r="P37" s="99"/>
      <c r="Q37" s="92" t="s">
        <v>105</v>
      </c>
    </row>
    <row r="38" spans="1:17" ht="27.6" x14ac:dyDescent="0.3">
      <c r="A38" s="43" t="s">
        <v>11</v>
      </c>
      <c r="B38" s="144" t="s">
        <v>89</v>
      </c>
      <c r="C38" s="49" t="s">
        <v>31</v>
      </c>
      <c r="D38" s="49" t="s">
        <v>19</v>
      </c>
      <c r="E38" s="49" t="str">
        <f t="shared" si="1"/>
        <v>DOMÉSTICOS Plásticos (excepto SUP*) PS (excepto EPS) Envase</v>
      </c>
      <c r="F38" s="49" t="s">
        <v>150</v>
      </c>
      <c r="G38" s="48">
        <v>1</v>
      </c>
      <c r="H38" s="48">
        <f t="shared" si="3"/>
        <v>37.200000000000003</v>
      </c>
      <c r="I38" s="48"/>
      <c r="J38" s="48"/>
      <c r="K38" s="48"/>
      <c r="L38" s="48"/>
      <c r="M38" s="48">
        <f t="shared" si="4"/>
        <v>36.200000000000003</v>
      </c>
      <c r="N38" s="50">
        <f t="shared" si="0"/>
        <v>2.3556972733780146E-3</v>
      </c>
      <c r="O38" s="48">
        <f t="shared" si="2"/>
        <v>1</v>
      </c>
      <c r="P38" s="99"/>
      <c r="Q38" s="129" t="s">
        <v>104</v>
      </c>
    </row>
    <row r="39" spans="1:17" ht="27.6" x14ac:dyDescent="0.3">
      <c r="A39" s="43" t="s">
        <v>11</v>
      </c>
      <c r="B39" s="144" t="s">
        <v>89</v>
      </c>
      <c r="C39" s="49" t="s">
        <v>31</v>
      </c>
      <c r="D39" s="49" t="s">
        <v>20</v>
      </c>
      <c r="E39" s="49" t="str">
        <f t="shared" si="1"/>
        <v>DOMÉSTICOS Plásticos (excepto SUP*) PS (excepto EPS) No envase</v>
      </c>
      <c r="F39" s="49" t="s">
        <v>151</v>
      </c>
      <c r="G39" s="48">
        <v>1</v>
      </c>
      <c r="H39" s="60">
        <f t="shared" si="3"/>
        <v>38.200000000000003</v>
      </c>
      <c r="I39" s="60"/>
      <c r="J39" s="60"/>
      <c r="K39" s="60"/>
      <c r="L39" s="60"/>
      <c r="M39" s="48">
        <f t="shared" si="4"/>
        <v>37.200000000000003</v>
      </c>
      <c r="N39" s="50">
        <f t="shared" si="0"/>
        <v>2.4207717836923241E-3</v>
      </c>
      <c r="O39" s="48">
        <f t="shared" si="2"/>
        <v>1</v>
      </c>
      <c r="P39" s="99"/>
      <c r="Q39" s="92" t="s">
        <v>105</v>
      </c>
    </row>
    <row r="40" spans="1:17" ht="14.4" x14ac:dyDescent="0.3">
      <c r="A40" s="43" t="s">
        <v>11</v>
      </c>
      <c r="B40" s="144" t="s">
        <v>89</v>
      </c>
      <c r="C40" s="49" t="s">
        <v>32</v>
      </c>
      <c r="D40" s="49" t="s">
        <v>19</v>
      </c>
      <c r="E40" s="49" t="str">
        <f t="shared" si="1"/>
        <v>DOMÉSTICOS Plásticos (excepto SUP*) EPS Envase</v>
      </c>
      <c r="F40" s="49" t="s">
        <v>152</v>
      </c>
      <c r="G40" s="48">
        <v>1</v>
      </c>
      <c r="H40" s="60">
        <f t="shared" si="3"/>
        <v>39.200000000000003</v>
      </c>
      <c r="I40" s="60"/>
      <c r="J40" s="60"/>
      <c r="K40" s="60"/>
      <c r="L40" s="60"/>
      <c r="M40" s="48">
        <f t="shared" si="4"/>
        <v>38.200000000000003</v>
      </c>
      <c r="N40" s="50">
        <f t="shared" si="0"/>
        <v>2.485846294006634E-3</v>
      </c>
      <c r="O40" s="48">
        <f t="shared" si="2"/>
        <v>1</v>
      </c>
      <c r="P40" s="99"/>
      <c r="Q40" s="129" t="s">
        <v>104</v>
      </c>
    </row>
    <row r="41" spans="1:17" ht="14.4" x14ac:dyDescent="0.3">
      <c r="A41" s="43" t="s">
        <v>11</v>
      </c>
      <c r="B41" s="144" t="s">
        <v>89</v>
      </c>
      <c r="C41" s="49" t="s">
        <v>32</v>
      </c>
      <c r="D41" s="49" t="s">
        <v>20</v>
      </c>
      <c r="E41" s="49" t="str">
        <f t="shared" si="1"/>
        <v>DOMÉSTICOS Plásticos (excepto SUP*) EPS No envase</v>
      </c>
      <c r="F41" s="49" t="s">
        <v>153</v>
      </c>
      <c r="G41" s="48">
        <v>1</v>
      </c>
      <c r="H41" s="60">
        <f t="shared" si="3"/>
        <v>40.200000000000003</v>
      </c>
      <c r="I41" s="60"/>
      <c r="J41" s="60"/>
      <c r="K41" s="60"/>
      <c r="L41" s="60"/>
      <c r="M41" s="48">
        <f t="shared" si="4"/>
        <v>39.200000000000003</v>
      </c>
      <c r="N41" s="50">
        <f t="shared" si="0"/>
        <v>2.5509208043209435E-3</v>
      </c>
      <c r="O41" s="48">
        <f t="shared" si="2"/>
        <v>1</v>
      </c>
      <c r="P41" s="99"/>
      <c r="Q41" s="92" t="s">
        <v>105</v>
      </c>
    </row>
    <row r="42" spans="1:17" ht="27.6" x14ac:dyDescent="0.3">
      <c r="A42" s="43" t="s">
        <v>11</v>
      </c>
      <c r="B42" s="144" t="s">
        <v>89</v>
      </c>
      <c r="C42" s="49" t="s">
        <v>33</v>
      </c>
      <c r="D42" s="49" t="s">
        <v>19</v>
      </c>
      <c r="E42" s="49" t="str">
        <f t="shared" si="1"/>
        <v>DOMÉSTICOS Plásticos (excepto SUP*) Otros Plásticos Envase</v>
      </c>
      <c r="F42" s="49" t="s">
        <v>154</v>
      </c>
      <c r="G42" s="48">
        <v>1</v>
      </c>
      <c r="H42" s="60">
        <f t="shared" si="3"/>
        <v>41.2</v>
      </c>
      <c r="I42" s="60"/>
      <c r="J42" s="60"/>
      <c r="K42" s="60"/>
      <c r="L42" s="60"/>
      <c r="M42" s="48">
        <f t="shared" si="4"/>
        <v>40.200000000000003</v>
      </c>
      <c r="N42" s="50">
        <f t="shared" si="0"/>
        <v>2.6159953146352535E-3</v>
      </c>
      <c r="O42" s="48">
        <f t="shared" si="2"/>
        <v>1</v>
      </c>
      <c r="P42" s="99"/>
      <c r="Q42" s="129" t="s">
        <v>104</v>
      </c>
    </row>
    <row r="43" spans="1:17" ht="27.6" x14ac:dyDescent="0.3">
      <c r="A43" s="43" t="s">
        <v>11</v>
      </c>
      <c r="B43" s="144" t="s">
        <v>89</v>
      </c>
      <c r="C43" s="49" t="s">
        <v>33</v>
      </c>
      <c r="D43" s="49" t="s">
        <v>20</v>
      </c>
      <c r="E43" s="49" t="str">
        <f t="shared" si="1"/>
        <v>DOMÉSTICOS Plásticos (excepto SUP*) Otros Plásticos No envase</v>
      </c>
      <c r="F43" s="49" t="s">
        <v>155</v>
      </c>
      <c r="G43" s="48">
        <v>1</v>
      </c>
      <c r="H43" s="60">
        <f t="shared" si="3"/>
        <v>42.2</v>
      </c>
      <c r="I43" s="60"/>
      <c r="J43" s="60"/>
      <c r="K43" s="60"/>
      <c r="L43" s="60"/>
      <c r="M43" s="48">
        <f t="shared" si="4"/>
        <v>41.2</v>
      </c>
      <c r="N43" s="50">
        <f t="shared" si="0"/>
        <v>2.6810698249495634E-3</v>
      </c>
      <c r="O43" s="48">
        <f t="shared" si="2"/>
        <v>1</v>
      </c>
      <c r="P43" s="99"/>
      <c r="Q43" s="92" t="s">
        <v>105</v>
      </c>
    </row>
    <row r="44" spans="1:17" ht="12.75" customHeight="1" x14ac:dyDescent="0.3">
      <c r="A44" s="43" t="s">
        <v>11</v>
      </c>
      <c r="B44" s="144" t="s">
        <v>34</v>
      </c>
      <c r="C44" s="61" t="s">
        <v>35</v>
      </c>
      <c r="D44" s="61"/>
      <c r="E44" s="61" t="str">
        <f t="shared" si="1"/>
        <v xml:space="preserve">DOMÉSTICOS * Plásticos de un solo uso (SUP) [iii] Botellas para bebidas de hasta tres litros de capacidad, incluidos sus tapas y tapones </v>
      </c>
      <c r="F44" s="61" t="s">
        <v>156</v>
      </c>
      <c r="G44" s="48">
        <v>1</v>
      </c>
      <c r="H44" s="60">
        <f t="shared" si="3"/>
        <v>43.2</v>
      </c>
      <c r="I44" s="60"/>
      <c r="J44" s="60"/>
      <c r="K44" s="60"/>
      <c r="L44" s="60"/>
      <c r="M44" s="48">
        <f t="shared" si="4"/>
        <v>42.2</v>
      </c>
      <c r="N44" s="50">
        <f t="shared" si="0"/>
        <v>2.7461443352638729E-3</v>
      </c>
      <c r="O44" s="48">
        <f t="shared" si="2"/>
        <v>1</v>
      </c>
      <c r="P44" s="103"/>
      <c r="Q44" s="129" t="s">
        <v>104</v>
      </c>
    </row>
    <row r="45" spans="1:17" ht="12.75" customHeight="1" x14ac:dyDescent="0.3">
      <c r="A45" s="43" t="s">
        <v>11</v>
      </c>
      <c r="B45" s="144" t="s">
        <v>34</v>
      </c>
      <c r="C45" s="49" t="s">
        <v>36</v>
      </c>
      <c r="D45" s="49"/>
      <c r="E45" s="49" t="str">
        <f t="shared" si="1"/>
        <v xml:space="preserve">DOMÉSTICOS * Plásticos de un solo uso (SUP) [iii] Productos de tabaco con filtro y fitros comercializados para utilizarse en combinación con productos del tabaco </v>
      </c>
      <c r="F45" s="49" t="s">
        <v>157</v>
      </c>
      <c r="G45" s="48">
        <v>1</v>
      </c>
      <c r="H45" s="60">
        <f t="shared" si="3"/>
        <v>44.2</v>
      </c>
      <c r="I45" s="60"/>
      <c r="J45" s="60"/>
      <c r="K45" s="60"/>
      <c r="L45" s="60"/>
      <c r="M45" s="48">
        <f t="shared" si="4"/>
        <v>43.2</v>
      </c>
      <c r="N45" s="50">
        <f t="shared" si="0"/>
        <v>2.8112188455781829E-3</v>
      </c>
      <c r="O45" s="48">
        <f t="shared" si="2"/>
        <v>1</v>
      </c>
      <c r="P45" s="99"/>
      <c r="Q45" s="92" t="s">
        <v>105</v>
      </c>
    </row>
    <row r="46" spans="1:17" ht="14.4" x14ac:dyDescent="0.3">
      <c r="A46" s="43" t="s">
        <v>11</v>
      </c>
      <c r="B46" s="144" t="s">
        <v>34</v>
      </c>
      <c r="C46" s="62" t="s">
        <v>37</v>
      </c>
      <c r="D46" s="62"/>
      <c r="E46" s="62" t="str">
        <f t="shared" si="1"/>
        <v xml:space="preserve">DOMÉSTICOS * Plásticos de un solo uso (SUP) [iii] Recipientes para alimentos </v>
      </c>
      <c r="F46" s="62" t="s">
        <v>158</v>
      </c>
      <c r="G46" s="48">
        <v>1</v>
      </c>
      <c r="H46" s="60">
        <f t="shared" si="3"/>
        <v>45.2</v>
      </c>
      <c r="I46" s="60"/>
      <c r="J46" s="60"/>
      <c r="K46" s="60"/>
      <c r="L46" s="60"/>
      <c r="M46" s="48">
        <f t="shared" si="4"/>
        <v>44.2</v>
      </c>
      <c r="N46" s="50">
        <f t="shared" si="0"/>
        <v>2.8762933558924928E-3</v>
      </c>
      <c r="O46" s="48">
        <f t="shared" si="2"/>
        <v>1</v>
      </c>
      <c r="P46" s="104"/>
      <c r="Q46" s="129" t="s">
        <v>104</v>
      </c>
    </row>
    <row r="47" spans="1:17" ht="12.75" customHeight="1" x14ac:dyDescent="0.3">
      <c r="A47" s="43" t="s">
        <v>11</v>
      </c>
      <c r="B47" s="144" t="s">
        <v>34</v>
      </c>
      <c r="C47" s="63" t="s">
        <v>38</v>
      </c>
      <c r="D47" s="63"/>
      <c r="E47" s="63" t="str">
        <f t="shared" si="1"/>
        <v xml:space="preserve">DOMÉSTICOS * Plásticos de un solo uso (SUP) [iii] Vasos para bebidas (incluidas sus tapas y tapones) </v>
      </c>
      <c r="F47" s="63" t="s">
        <v>159</v>
      </c>
      <c r="G47" s="48">
        <v>1</v>
      </c>
      <c r="H47" s="60">
        <f t="shared" si="3"/>
        <v>46.2</v>
      </c>
      <c r="I47" s="60"/>
      <c r="J47" s="60"/>
      <c r="K47" s="60"/>
      <c r="L47" s="60"/>
      <c r="M47" s="48">
        <f t="shared" si="4"/>
        <v>45.2</v>
      </c>
      <c r="N47" s="50">
        <f t="shared" si="0"/>
        <v>2.9413678662068023E-3</v>
      </c>
      <c r="O47" s="48">
        <f t="shared" si="2"/>
        <v>1</v>
      </c>
      <c r="P47" s="105"/>
      <c r="Q47" s="129" t="s">
        <v>104</v>
      </c>
    </row>
    <row r="48" spans="1:17" ht="14.4" x14ac:dyDescent="0.3">
      <c r="A48" s="43" t="s">
        <v>11</v>
      </c>
      <c r="B48" s="144" t="s">
        <v>34</v>
      </c>
      <c r="C48" s="63" t="s">
        <v>41</v>
      </c>
      <c r="D48" s="63"/>
      <c r="E48" s="63" t="str">
        <f t="shared" si="1"/>
        <v xml:space="preserve">DOMÉSTICOS * Plásticos de un solo uso (SUP) [iii] Otros </v>
      </c>
      <c r="F48" s="63" t="s">
        <v>160</v>
      </c>
      <c r="G48" s="48">
        <v>1</v>
      </c>
      <c r="H48" s="60">
        <f t="shared" si="3"/>
        <v>47.2</v>
      </c>
      <c r="I48" s="60"/>
      <c r="J48" s="60"/>
      <c r="K48" s="60"/>
      <c r="L48" s="60"/>
      <c r="M48" s="48">
        <f t="shared" si="4"/>
        <v>46.2</v>
      </c>
      <c r="N48" s="50">
        <f t="shared" ref="N48:N79" si="5">M48/SUM($M$16:$M$177)</f>
        <v>3.0064423765211123E-3</v>
      </c>
      <c r="O48" s="48">
        <f t="shared" si="2"/>
        <v>1</v>
      </c>
      <c r="P48" s="105"/>
      <c r="Q48" s="129" t="s">
        <v>104</v>
      </c>
    </row>
    <row r="49" spans="1:17" ht="12.75" customHeight="1" x14ac:dyDescent="0.3">
      <c r="A49" s="43" t="s">
        <v>11</v>
      </c>
      <c r="B49" s="148" t="s">
        <v>39</v>
      </c>
      <c r="C49" s="67" t="s">
        <v>66</v>
      </c>
      <c r="D49" s="67"/>
      <c r="E49" s="67" t="str">
        <f t="shared" si="1"/>
        <v xml:space="preserve">DOMÉSTICOS Biorresiduos Restos de alimentos no cocinados y restos derivados de la preparación de alimentos </v>
      </c>
      <c r="F49" s="67" t="s">
        <v>161</v>
      </c>
      <c r="G49" s="66">
        <v>1</v>
      </c>
      <c r="H49" s="68">
        <f t="shared" si="3"/>
        <v>48.2</v>
      </c>
      <c r="I49" s="68"/>
      <c r="J49" s="68"/>
      <c r="K49" s="68"/>
      <c r="L49" s="68"/>
      <c r="M49" s="66">
        <f t="shared" si="4"/>
        <v>47.2</v>
      </c>
      <c r="N49" s="69">
        <f t="shared" si="5"/>
        <v>3.0715168868354222E-3</v>
      </c>
      <c r="O49" s="66">
        <f t="shared" si="2"/>
        <v>1</v>
      </c>
      <c r="P49" s="106"/>
      <c r="Q49" s="129" t="s">
        <v>104</v>
      </c>
    </row>
    <row r="50" spans="1:17" ht="41.4" x14ac:dyDescent="0.3">
      <c r="A50" s="43" t="s">
        <v>11</v>
      </c>
      <c r="B50" s="148" t="s">
        <v>39</v>
      </c>
      <c r="C50" s="67" t="s">
        <v>67</v>
      </c>
      <c r="D50" s="67"/>
      <c r="E50" s="67" t="str">
        <f t="shared" si="1"/>
        <v xml:space="preserve">DOMÉSTICOS Biorresiduos Restos de alimentos cocinados </v>
      </c>
      <c r="F50" s="67" t="s">
        <v>162</v>
      </c>
      <c r="G50" s="66">
        <v>1</v>
      </c>
      <c r="H50" s="68">
        <f t="shared" si="3"/>
        <v>49.2</v>
      </c>
      <c r="I50" s="68"/>
      <c r="J50" s="68"/>
      <c r="K50" s="68"/>
      <c r="L50" s="68"/>
      <c r="M50" s="66">
        <f t="shared" si="4"/>
        <v>48.2</v>
      </c>
      <c r="N50" s="69">
        <f t="shared" si="5"/>
        <v>3.1365913971497317E-3</v>
      </c>
      <c r="O50" s="66">
        <f t="shared" si="2"/>
        <v>1</v>
      </c>
      <c r="P50" s="106"/>
      <c r="Q50" s="129" t="s">
        <v>104</v>
      </c>
    </row>
    <row r="51" spans="1:17" ht="12.75" customHeight="1" x14ac:dyDescent="0.3">
      <c r="A51" s="43" t="s">
        <v>11</v>
      </c>
      <c r="B51" s="148" t="s">
        <v>39</v>
      </c>
      <c r="C51" s="67" t="s">
        <v>68</v>
      </c>
      <c r="D51" s="67"/>
      <c r="E51" s="67" t="str">
        <f t="shared" si="1"/>
        <v xml:space="preserve">DOMÉSTICOS Biorresiduos Celulosas: Papel de cocina, servilletas </v>
      </c>
      <c r="F51" s="67" t="s">
        <v>163</v>
      </c>
      <c r="G51" s="66">
        <v>1</v>
      </c>
      <c r="H51" s="68">
        <f t="shared" si="3"/>
        <v>50.2</v>
      </c>
      <c r="I51" s="68"/>
      <c r="J51" s="68"/>
      <c r="K51" s="68"/>
      <c r="L51" s="68"/>
      <c r="M51" s="66">
        <f t="shared" si="4"/>
        <v>49.2</v>
      </c>
      <c r="N51" s="69">
        <f t="shared" si="5"/>
        <v>3.2016659074640417E-3</v>
      </c>
      <c r="O51" s="66">
        <f t="shared" si="2"/>
        <v>1</v>
      </c>
      <c r="P51" s="106"/>
      <c r="Q51" s="129" t="s">
        <v>104</v>
      </c>
    </row>
    <row r="52" spans="1:17" ht="12.75" customHeight="1" x14ac:dyDescent="0.3">
      <c r="A52" s="43" t="s">
        <v>11</v>
      </c>
      <c r="B52" s="148" t="s">
        <v>39</v>
      </c>
      <c r="C52" s="67" t="s">
        <v>81</v>
      </c>
      <c r="D52" s="67"/>
      <c r="E52" s="67" t="str">
        <f t="shared" si="1"/>
        <v xml:space="preserve">DOMÉSTICOS Biorresiduos Otros restos de cocina compostables: bolsas, corchos, palillos de madera y otros resto compostables (vasos de papel, etc.) </v>
      </c>
      <c r="F52" s="67" t="s">
        <v>164</v>
      </c>
      <c r="G52" s="66">
        <v>1</v>
      </c>
      <c r="H52" s="66">
        <f t="shared" si="3"/>
        <v>51.2</v>
      </c>
      <c r="I52" s="66"/>
      <c r="J52" s="66"/>
      <c r="K52" s="66"/>
      <c r="L52" s="66"/>
      <c r="M52" s="66">
        <f t="shared" si="4"/>
        <v>50.2</v>
      </c>
      <c r="N52" s="69">
        <f t="shared" si="5"/>
        <v>3.2667404177783516E-3</v>
      </c>
      <c r="O52" s="66">
        <f t="shared" si="2"/>
        <v>1</v>
      </c>
      <c r="P52" s="106"/>
      <c r="Q52" s="129" t="s">
        <v>104</v>
      </c>
    </row>
    <row r="53" spans="1:17" ht="12.75" customHeight="1" x14ac:dyDescent="0.3">
      <c r="A53" s="43" t="s">
        <v>11</v>
      </c>
      <c r="B53" s="148" t="s">
        <v>39</v>
      </c>
      <c r="C53" s="67" t="s">
        <v>69</v>
      </c>
      <c r="D53" s="67"/>
      <c r="E53" s="67" t="str">
        <f t="shared" si="1"/>
        <v xml:space="preserve">DOMÉSTICOS Biorresiduos Derroche alimentario: alimentos caducados y en mal estado (a granel o en envases abiertos, el envase se separará en su fracción) </v>
      </c>
      <c r="F53" s="67" t="s">
        <v>165</v>
      </c>
      <c r="G53" s="66">
        <v>1</v>
      </c>
      <c r="H53" s="66">
        <f t="shared" si="3"/>
        <v>52.2</v>
      </c>
      <c r="I53" s="66"/>
      <c r="J53" s="66"/>
      <c r="K53" s="66"/>
      <c r="L53" s="66"/>
      <c r="M53" s="66">
        <f t="shared" si="4"/>
        <v>51.2</v>
      </c>
      <c r="N53" s="69">
        <f t="shared" si="5"/>
        <v>3.3318149280926611E-3</v>
      </c>
      <c r="O53" s="66">
        <f t="shared" si="2"/>
        <v>1</v>
      </c>
      <c r="P53" s="106"/>
      <c r="Q53" s="129" t="s">
        <v>104</v>
      </c>
    </row>
    <row r="54" spans="1:17" ht="12.75" customHeight="1" x14ac:dyDescent="0.3">
      <c r="A54" s="43" t="s">
        <v>11</v>
      </c>
      <c r="B54" s="148" t="s">
        <v>39</v>
      </c>
      <c r="C54" s="67" t="s">
        <v>71</v>
      </c>
      <c r="D54" s="67"/>
      <c r="E54" s="67" t="str">
        <f t="shared" si="1"/>
        <v xml:space="preserve">DOMÉSTICOS Biorresiduos Restos vegetales (césped, hojas, flores, etc.) </v>
      </c>
      <c r="F54" s="67" t="s">
        <v>166</v>
      </c>
      <c r="G54" s="66">
        <v>1</v>
      </c>
      <c r="H54" s="66">
        <f t="shared" si="3"/>
        <v>53.2</v>
      </c>
      <c r="I54" s="66"/>
      <c r="J54" s="66"/>
      <c r="K54" s="66"/>
      <c r="L54" s="66"/>
      <c r="M54" s="66">
        <f t="shared" si="4"/>
        <v>52.2</v>
      </c>
      <c r="N54" s="69">
        <f t="shared" si="5"/>
        <v>3.396889438406971E-3</v>
      </c>
      <c r="O54" s="66">
        <f t="shared" si="2"/>
        <v>1</v>
      </c>
      <c r="P54" s="106"/>
      <c r="Q54" s="129" t="s">
        <v>104</v>
      </c>
    </row>
    <row r="55" spans="1:17" ht="12.75" customHeight="1" x14ac:dyDescent="0.3">
      <c r="A55" s="43" t="s">
        <v>11</v>
      </c>
      <c r="B55" s="148" t="s">
        <v>39</v>
      </c>
      <c r="C55" s="67" t="s">
        <v>72</v>
      </c>
      <c r="D55" s="67"/>
      <c r="E55" s="67" t="str">
        <f t="shared" si="1"/>
        <v xml:space="preserve">DOMÉSTICOS Biorresiduos Restos de poda (ramas, arbustos, etc.) </v>
      </c>
      <c r="F55" s="67" t="s">
        <v>167</v>
      </c>
      <c r="G55" s="66">
        <v>1</v>
      </c>
      <c r="H55" s="66">
        <f t="shared" si="3"/>
        <v>54.2</v>
      </c>
      <c r="I55" s="66"/>
      <c r="J55" s="66"/>
      <c r="K55" s="66"/>
      <c r="L55" s="66"/>
      <c r="M55" s="66">
        <f t="shared" si="4"/>
        <v>53.2</v>
      </c>
      <c r="N55" s="69">
        <f t="shared" si="5"/>
        <v>3.4619639487212805E-3</v>
      </c>
      <c r="O55" s="66">
        <f t="shared" si="2"/>
        <v>1</v>
      </c>
      <c r="P55" s="106"/>
      <c r="Q55" s="129" t="s">
        <v>104</v>
      </c>
    </row>
    <row r="56" spans="1:17" ht="12.75" customHeight="1" x14ac:dyDescent="0.3">
      <c r="A56" s="43" t="s">
        <v>11</v>
      </c>
      <c r="B56" s="65" t="s">
        <v>84</v>
      </c>
      <c r="C56" s="64" t="s">
        <v>70</v>
      </c>
      <c r="D56" s="64"/>
      <c r="E56" s="64" t="str">
        <f t="shared" si="1"/>
        <v xml:space="preserve">DOMÉSTICOS ACEITE Aceite de cocina usados (contenidos en envases) </v>
      </c>
      <c r="F56" s="64" t="s">
        <v>168</v>
      </c>
      <c r="G56" s="53">
        <v>1</v>
      </c>
      <c r="H56" s="53">
        <f t="shared" si="3"/>
        <v>55.2</v>
      </c>
      <c r="I56" s="53"/>
      <c r="J56" s="53"/>
      <c r="K56" s="53"/>
      <c r="L56" s="53"/>
      <c r="M56" s="53">
        <f t="shared" si="4"/>
        <v>54.2</v>
      </c>
      <c r="N56" s="54">
        <f t="shared" si="5"/>
        <v>3.5270384590355905E-3</v>
      </c>
      <c r="O56" s="53">
        <f t="shared" si="2"/>
        <v>1</v>
      </c>
      <c r="P56" s="107"/>
      <c r="Q56" s="129" t="s">
        <v>104</v>
      </c>
    </row>
    <row r="57" spans="1:17" x14ac:dyDescent="0.3">
      <c r="A57" s="43" t="s">
        <v>11</v>
      </c>
      <c r="B57" s="70" t="s">
        <v>91</v>
      </c>
      <c r="C57" s="71" t="s">
        <v>58</v>
      </c>
      <c r="D57" s="71"/>
      <c r="E57" s="71" t="str">
        <f t="shared" si="1"/>
        <v xml:space="preserve">DOMÉSTICOS RAEE [iv] RAEE  </v>
      </c>
      <c r="F57" s="71" t="s">
        <v>169</v>
      </c>
      <c r="G57" s="72">
        <v>1</v>
      </c>
      <c r="H57" s="72">
        <f t="shared" si="3"/>
        <v>56.2</v>
      </c>
      <c r="I57" s="72"/>
      <c r="J57" s="72"/>
      <c r="K57" s="72"/>
      <c r="L57" s="72"/>
      <c r="M57" s="72">
        <f t="shared" si="4"/>
        <v>55.2</v>
      </c>
      <c r="N57" s="73">
        <f t="shared" si="5"/>
        <v>3.5921129693499004E-3</v>
      </c>
      <c r="O57" s="72">
        <f t="shared" si="2"/>
        <v>1</v>
      </c>
      <c r="P57" s="108"/>
      <c r="Q57" s="129" t="s">
        <v>104</v>
      </c>
    </row>
    <row r="58" spans="1:17" ht="41.4" x14ac:dyDescent="0.3">
      <c r="A58" s="43" t="s">
        <v>11</v>
      </c>
      <c r="B58" s="70" t="s">
        <v>73</v>
      </c>
      <c r="C58" s="71" t="s">
        <v>42</v>
      </c>
      <c r="D58" s="71"/>
      <c r="E58" s="71" t="str">
        <f t="shared" si="1"/>
        <v xml:space="preserve">DOMÉSTICOS Baterias Pilas y Acumuladores </v>
      </c>
      <c r="F58" s="71" t="s">
        <v>170</v>
      </c>
      <c r="G58" s="72">
        <v>1</v>
      </c>
      <c r="H58" s="72">
        <f t="shared" si="3"/>
        <v>57.2</v>
      </c>
      <c r="I58" s="72"/>
      <c r="J58" s="72"/>
      <c r="K58" s="72"/>
      <c r="L58" s="72"/>
      <c r="M58" s="72">
        <f t="shared" si="4"/>
        <v>56.2</v>
      </c>
      <c r="N58" s="73">
        <f t="shared" si="5"/>
        <v>3.6571874796642099E-3</v>
      </c>
      <c r="O58" s="72">
        <f t="shared" si="2"/>
        <v>1</v>
      </c>
      <c r="P58" s="108"/>
      <c r="Q58" s="129" t="s">
        <v>104</v>
      </c>
    </row>
    <row r="59" spans="1:17" ht="27.6" x14ac:dyDescent="0.3">
      <c r="A59" s="43" t="s">
        <v>11</v>
      </c>
      <c r="B59" s="70" t="s">
        <v>73</v>
      </c>
      <c r="C59" s="71" t="s">
        <v>43</v>
      </c>
      <c r="D59" s="71"/>
      <c r="E59" s="71" t="str">
        <f t="shared" si="1"/>
        <v xml:space="preserve">DOMÉSTICOS Baterias Baterías de Vehículos </v>
      </c>
      <c r="F59" s="71" t="s">
        <v>171</v>
      </c>
      <c r="G59" s="72">
        <v>1</v>
      </c>
      <c r="H59" s="72">
        <f t="shared" si="3"/>
        <v>58.2</v>
      </c>
      <c r="I59" s="72"/>
      <c r="J59" s="72"/>
      <c r="K59" s="72"/>
      <c r="L59" s="72"/>
      <c r="M59" s="72">
        <f t="shared" si="4"/>
        <v>57.2</v>
      </c>
      <c r="N59" s="73">
        <f t="shared" si="5"/>
        <v>3.7222619899785199E-3</v>
      </c>
      <c r="O59" s="72">
        <f t="shared" si="2"/>
        <v>1</v>
      </c>
      <c r="P59" s="108"/>
      <c r="Q59" s="129" t="s">
        <v>104</v>
      </c>
    </row>
    <row r="60" spans="1:17" ht="27.6" x14ac:dyDescent="0.3">
      <c r="A60" s="43" t="s">
        <v>11</v>
      </c>
      <c r="B60" s="84" t="s">
        <v>74</v>
      </c>
      <c r="C60" s="85" t="s">
        <v>44</v>
      </c>
      <c r="D60" s="85"/>
      <c r="E60" s="85" t="str">
        <f t="shared" si="1"/>
        <v xml:space="preserve">DOMÉSTICOS Textiles Textiles y piel </v>
      </c>
      <c r="F60" s="85" t="s">
        <v>172</v>
      </c>
      <c r="G60" s="86">
        <v>1</v>
      </c>
      <c r="H60" s="86">
        <f t="shared" si="3"/>
        <v>59.2</v>
      </c>
      <c r="I60" s="86"/>
      <c r="J60" s="86"/>
      <c r="K60" s="86"/>
      <c r="L60" s="86"/>
      <c r="M60" s="86">
        <f t="shared" si="4"/>
        <v>58.2</v>
      </c>
      <c r="N60" s="87">
        <f t="shared" si="5"/>
        <v>3.7873365002928298E-3</v>
      </c>
      <c r="O60" s="86">
        <f t="shared" si="2"/>
        <v>1</v>
      </c>
      <c r="P60" s="109"/>
      <c r="Q60" s="129" t="s">
        <v>104</v>
      </c>
    </row>
    <row r="61" spans="1:17" ht="12.75" customHeight="1" x14ac:dyDescent="0.3">
      <c r="A61" s="43" t="s">
        <v>11</v>
      </c>
      <c r="B61" s="75" t="s">
        <v>75</v>
      </c>
      <c r="C61" s="76" t="s">
        <v>45</v>
      </c>
      <c r="D61" s="76"/>
      <c r="E61" s="76" t="str">
        <f t="shared" si="1"/>
        <v xml:space="preserve">DOMÉSTICOS Textiles sanitarios Textiles y celulósicos sanitarios </v>
      </c>
      <c r="F61" s="76" t="s">
        <v>173</v>
      </c>
      <c r="G61" s="77">
        <v>1</v>
      </c>
      <c r="H61" s="77">
        <f t="shared" si="3"/>
        <v>60.2</v>
      </c>
      <c r="I61" s="77"/>
      <c r="J61" s="77"/>
      <c r="K61" s="77"/>
      <c r="L61" s="77"/>
      <c r="M61" s="77">
        <f t="shared" si="4"/>
        <v>59.2</v>
      </c>
      <c r="N61" s="78">
        <f t="shared" si="5"/>
        <v>3.8524110106071393E-3</v>
      </c>
      <c r="O61" s="77">
        <f t="shared" si="2"/>
        <v>1</v>
      </c>
      <c r="P61" s="110"/>
      <c r="Q61" s="92" t="s">
        <v>105</v>
      </c>
    </row>
    <row r="62" spans="1:17" ht="27.6" x14ac:dyDescent="0.3">
      <c r="A62" s="43" t="s">
        <v>11</v>
      </c>
      <c r="B62" s="149" t="s">
        <v>76</v>
      </c>
      <c r="C62" s="80" t="s">
        <v>48</v>
      </c>
      <c r="D62" s="80"/>
      <c r="E62" s="80" t="str">
        <f t="shared" si="1"/>
        <v xml:space="preserve">DOMÉSTICOS Tierras y RCDs Tierras y Escombros </v>
      </c>
      <c r="F62" s="80" t="s">
        <v>174</v>
      </c>
      <c r="G62" s="81">
        <v>1</v>
      </c>
      <c r="H62" s="81">
        <f t="shared" si="3"/>
        <v>61.2</v>
      </c>
      <c r="I62" s="81"/>
      <c r="J62" s="81"/>
      <c r="K62" s="81"/>
      <c r="L62" s="81"/>
      <c r="M62" s="81">
        <f t="shared" si="4"/>
        <v>60.2</v>
      </c>
      <c r="N62" s="82">
        <f t="shared" si="5"/>
        <v>3.9174855209214493E-3</v>
      </c>
      <c r="O62" s="81">
        <f t="shared" si="2"/>
        <v>1</v>
      </c>
      <c r="P62" s="111"/>
      <c r="Q62" s="129" t="s">
        <v>104</v>
      </c>
    </row>
    <row r="63" spans="1:17" ht="41.4" x14ac:dyDescent="0.3">
      <c r="A63" s="43" t="s">
        <v>11</v>
      </c>
      <c r="B63" s="149" t="s">
        <v>76</v>
      </c>
      <c r="C63" s="80" t="s">
        <v>77</v>
      </c>
      <c r="D63" s="80"/>
      <c r="E63" s="80" t="str">
        <f t="shared" si="1"/>
        <v xml:space="preserve">DOMÉSTICOS Tierras y RCDs Restos de obras menores </v>
      </c>
      <c r="F63" s="80" t="s">
        <v>175</v>
      </c>
      <c r="G63" s="81">
        <v>1</v>
      </c>
      <c r="H63" s="81">
        <f t="shared" si="3"/>
        <v>62.2</v>
      </c>
      <c r="I63" s="81"/>
      <c r="J63" s="81"/>
      <c r="K63" s="81"/>
      <c r="L63" s="81"/>
      <c r="M63" s="81">
        <f t="shared" si="4"/>
        <v>61.2</v>
      </c>
      <c r="N63" s="82">
        <f t="shared" si="5"/>
        <v>3.9825600312357592E-3</v>
      </c>
      <c r="O63" s="81">
        <f t="shared" si="2"/>
        <v>1</v>
      </c>
      <c r="P63" s="111"/>
      <c r="Q63" s="129" t="s">
        <v>104</v>
      </c>
    </row>
    <row r="64" spans="1:17" ht="12.75" customHeight="1" x14ac:dyDescent="0.3">
      <c r="A64" s="43" t="s">
        <v>11</v>
      </c>
      <c r="B64" s="149" t="s">
        <v>41</v>
      </c>
      <c r="C64" s="83" t="s">
        <v>78</v>
      </c>
      <c r="D64" s="83"/>
      <c r="E64" s="83" t="str">
        <f t="shared" si="1"/>
        <v xml:space="preserve">DOMÉSTICOS Otros Inclasificables mayores de 50 mm </v>
      </c>
      <c r="F64" s="83" t="s">
        <v>176</v>
      </c>
      <c r="G64" s="81">
        <v>1</v>
      </c>
      <c r="H64" s="81">
        <f t="shared" si="3"/>
        <v>63.2</v>
      </c>
      <c r="I64" s="81"/>
      <c r="J64" s="81"/>
      <c r="K64" s="81"/>
      <c r="L64" s="81"/>
      <c r="M64" s="81">
        <f t="shared" si="4"/>
        <v>62.2</v>
      </c>
      <c r="N64" s="82">
        <f t="shared" si="5"/>
        <v>4.0476345415500692E-3</v>
      </c>
      <c r="O64" s="81">
        <f t="shared" si="2"/>
        <v>1</v>
      </c>
      <c r="P64" s="112"/>
      <c r="Q64" s="92" t="s">
        <v>105</v>
      </c>
    </row>
    <row r="65" spans="1:17" ht="12.75" customHeight="1" x14ac:dyDescent="0.3">
      <c r="A65" s="43" t="s">
        <v>11</v>
      </c>
      <c r="B65" s="149" t="s">
        <v>41</v>
      </c>
      <c r="C65" s="83" t="s">
        <v>79</v>
      </c>
      <c r="D65" s="83"/>
      <c r="E65" s="83" t="str">
        <f t="shared" si="1"/>
        <v xml:space="preserve">DOMÉSTICOS Otros Finos &lt; 50 mm (si &gt; 2kg*, se hará una analitica en laboratorio) </v>
      </c>
      <c r="F65" s="83" t="s">
        <v>177</v>
      </c>
      <c r="G65" s="81">
        <v>1</v>
      </c>
      <c r="H65" s="81">
        <f t="shared" si="3"/>
        <v>64.2</v>
      </c>
      <c r="I65" s="81"/>
      <c r="J65" s="81"/>
      <c r="K65" s="81"/>
      <c r="L65" s="81"/>
      <c r="M65" s="81">
        <f t="shared" si="4"/>
        <v>63.2</v>
      </c>
      <c r="N65" s="82">
        <f t="shared" si="5"/>
        <v>4.1127090518643782E-3</v>
      </c>
      <c r="O65" s="81">
        <f t="shared" si="2"/>
        <v>1</v>
      </c>
      <c r="P65" s="112"/>
      <c r="Q65" s="92" t="s">
        <v>105</v>
      </c>
    </row>
    <row r="66" spans="1:17" ht="12.75" customHeight="1" x14ac:dyDescent="0.3">
      <c r="A66" s="43" t="s">
        <v>11</v>
      </c>
      <c r="B66" s="149" t="s">
        <v>41</v>
      </c>
      <c r="C66" s="83" t="s">
        <v>46</v>
      </c>
      <c r="D66" s="83"/>
      <c r="E66" s="83" t="str">
        <f t="shared" si="1"/>
        <v xml:space="preserve">DOMÉSTICOS Otros Cantidad de Producto en Envases (Sólido) </v>
      </c>
      <c r="F66" s="83" t="s">
        <v>178</v>
      </c>
      <c r="G66" s="81">
        <v>1</v>
      </c>
      <c r="H66" s="81">
        <f t="shared" si="3"/>
        <v>65.2</v>
      </c>
      <c r="I66" s="81"/>
      <c r="J66" s="81"/>
      <c r="K66" s="81"/>
      <c r="L66" s="81"/>
      <c r="M66" s="81">
        <f t="shared" si="4"/>
        <v>64.2</v>
      </c>
      <c r="N66" s="82">
        <f t="shared" si="5"/>
        <v>4.1777835621786882E-3</v>
      </c>
      <c r="O66" s="81">
        <f t="shared" si="2"/>
        <v>1</v>
      </c>
      <c r="P66" s="112"/>
      <c r="Q66" s="92" t="s">
        <v>105</v>
      </c>
    </row>
    <row r="67" spans="1:17" ht="12.75" customHeight="1" x14ac:dyDescent="0.3">
      <c r="A67" s="43" t="s">
        <v>11</v>
      </c>
      <c r="B67" s="149" t="s">
        <v>41</v>
      </c>
      <c r="C67" s="83" t="s">
        <v>47</v>
      </c>
      <c r="D67" s="83"/>
      <c r="E67" s="83" t="str">
        <f t="shared" si="1"/>
        <v xml:space="preserve">DOMÉSTICOS Otros Cantidad de Producto en Envases (líquido-no aceite) </v>
      </c>
      <c r="F67" s="83" t="s">
        <v>179</v>
      </c>
      <c r="G67" s="81">
        <v>1</v>
      </c>
      <c r="H67" s="81">
        <f t="shared" si="3"/>
        <v>66.2</v>
      </c>
      <c r="I67" s="81"/>
      <c r="J67" s="81"/>
      <c r="K67" s="81"/>
      <c r="L67" s="81"/>
      <c r="M67" s="81">
        <f t="shared" si="4"/>
        <v>65.2</v>
      </c>
      <c r="N67" s="82">
        <f t="shared" si="5"/>
        <v>4.2428580724929981E-3</v>
      </c>
      <c r="O67" s="81">
        <f t="shared" si="2"/>
        <v>1</v>
      </c>
      <c r="P67" s="112"/>
      <c r="Q67" s="92" t="s">
        <v>105</v>
      </c>
    </row>
    <row r="68" spans="1:17" x14ac:dyDescent="0.3">
      <c r="A68" s="43" t="s">
        <v>11</v>
      </c>
      <c r="B68" s="149" t="s">
        <v>41</v>
      </c>
      <c r="C68" s="80" t="s">
        <v>49</v>
      </c>
      <c r="D68" s="80"/>
      <c r="E68" s="80" t="str">
        <f t="shared" si="1"/>
        <v xml:space="preserve">DOMÉSTICOS Otros Caucho </v>
      </c>
      <c r="F68" s="80" t="s">
        <v>180</v>
      </c>
      <c r="G68" s="81">
        <v>1</v>
      </c>
      <c r="H68" s="81">
        <f t="shared" si="3"/>
        <v>67.2</v>
      </c>
      <c r="I68" s="81"/>
      <c r="J68" s="81"/>
      <c r="K68" s="81"/>
      <c r="L68" s="81"/>
      <c r="M68" s="81">
        <f t="shared" si="4"/>
        <v>66.2</v>
      </c>
      <c r="N68" s="82">
        <f t="shared" si="5"/>
        <v>4.3079325828073081E-3</v>
      </c>
      <c r="O68" s="81">
        <f t="shared" si="2"/>
        <v>1</v>
      </c>
      <c r="P68" s="111"/>
      <c r="Q68" s="92" t="s">
        <v>105</v>
      </c>
    </row>
    <row r="69" spans="1:17" ht="12.75" customHeight="1" x14ac:dyDescent="0.3">
      <c r="A69" s="43" t="s">
        <v>11</v>
      </c>
      <c r="B69" s="149" t="s">
        <v>41</v>
      </c>
      <c r="C69" s="83" t="s">
        <v>80</v>
      </c>
      <c r="D69" s="83"/>
      <c r="E69" s="83" t="str">
        <f t="shared" si="1"/>
        <v xml:space="preserve">DOMÉSTICOS Otros Otros otros  (cuerdas multimaterial…) </v>
      </c>
      <c r="F69" s="83" t="s">
        <v>181</v>
      </c>
      <c r="G69" s="81">
        <v>1</v>
      </c>
      <c r="H69" s="81">
        <f t="shared" si="3"/>
        <v>68.2</v>
      </c>
      <c r="I69" s="81"/>
      <c r="J69" s="81"/>
      <c r="K69" s="81"/>
      <c r="L69" s="81"/>
      <c r="M69" s="81">
        <f t="shared" si="4"/>
        <v>67.2</v>
      </c>
      <c r="N69" s="82">
        <f t="shared" si="5"/>
        <v>4.373007093121618E-3</v>
      </c>
      <c r="O69" s="81">
        <f t="shared" si="2"/>
        <v>1</v>
      </c>
      <c r="P69" s="112"/>
      <c r="Q69" s="92" t="s">
        <v>105</v>
      </c>
    </row>
    <row r="70" spans="1:17" ht="27.6" x14ac:dyDescent="0.3">
      <c r="A70" s="45" t="s">
        <v>82</v>
      </c>
      <c r="B70" s="143" t="s">
        <v>14</v>
      </c>
      <c r="C70" s="41"/>
      <c r="D70" s="46" t="s">
        <v>15</v>
      </c>
      <c r="E70" s="46" t="str">
        <f t="shared" si="1"/>
        <v>COMERCIALES Papel – cartón  Papel y Cartón envase (Con Pto. Verde)</v>
      </c>
      <c r="F70" s="46" t="s">
        <v>182</v>
      </c>
      <c r="G70" s="41">
        <v>1</v>
      </c>
      <c r="H70" s="41">
        <f t="shared" si="3"/>
        <v>69.2</v>
      </c>
      <c r="I70" s="41"/>
      <c r="J70" s="41"/>
      <c r="K70" s="41"/>
      <c r="L70" s="41"/>
      <c r="M70" s="41">
        <f>SUM(H70:L70)-(G70*O70)</f>
        <v>68.2</v>
      </c>
      <c r="N70" s="47">
        <f t="shared" si="5"/>
        <v>4.4380816034359279E-3</v>
      </c>
      <c r="O70" s="41">
        <f>COUNT(H70:L70)</f>
        <v>1</v>
      </c>
      <c r="P70" s="98"/>
      <c r="Q70" s="129" t="s">
        <v>104</v>
      </c>
    </row>
    <row r="71" spans="1:17" ht="27.6" x14ac:dyDescent="0.3">
      <c r="A71" s="45" t="s">
        <v>82</v>
      </c>
      <c r="B71" s="143" t="s">
        <v>14</v>
      </c>
      <c r="C71" s="41"/>
      <c r="D71" s="46" t="s">
        <v>16</v>
      </c>
      <c r="E71" s="46" t="str">
        <f t="shared" si="1"/>
        <v>COMERCIALES Papel – cartón  Papel y Cartón envase (Sin Pto. Verde)</v>
      </c>
      <c r="F71" s="46" t="s">
        <v>183</v>
      </c>
      <c r="G71" s="41">
        <v>1</v>
      </c>
      <c r="H71" s="41">
        <f t="shared" si="3"/>
        <v>70.2</v>
      </c>
      <c r="I71" s="41"/>
      <c r="J71" s="41"/>
      <c r="K71" s="41"/>
      <c r="L71" s="41"/>
      <c r="M71" s="41">
        <f>SUM(H71:L71)-(G71*O71)</f>
        <v>69.2</v>
      </c>
      <c r="N71" s="47">
        <f t="shared" si="5"/>
        <v>4.503156113750237E-3</v>
      </c>
      <c r="O71" s="41">
        <f t="shared" ref="O71:O123" si="6">COUNT(H71:L71)</f>
        <v>1</v>
      </c>
      <c r="P71" s="98"/>
      <c r="Q71" s="129" t="s">
        <v>104</v>
      </c>
    </row>
    <row r="72" spans="1:17" x14ac:dyDescent="0.3">
      <c r="A72" s="45" t="s">
        <v>82</v>
      </c>
      <c r="B72" s="143" t="s">
        <v>14</v>
      </c>
      <c r="C72" s="41"/>
      <c r="D72" s="46" t="s">
        <v>17</v>
      </c>
      <c r="E72" s="46" t="str">
        <f t="shared" si="1"/>
        <v>COMERCIALES Papel – cartón  Papel/Cartón No Envase</v>
      </c>
      <c r="F72" s="46" t="s">
        <v>184</v>
      </c>
      <c r="G72" s="41">
        <v>1</v>
      </c>
      <c r="H72" s="41">
        <f t="shared" si="3"/>
        <v>71.2</v>
      </c>
      <c r="I72" s="41"/>
      <c r="J72" s="41"/>
      <c r="K72" s="41"/>
      <c r="L72" s="41"/>
      <c r="M72" s="41">
        <f t="shared" ref="M72:M123" si="7">SUM(H72:L72)-(G72*O72)</f>
        <v>70.2</v>
      </c>
      <c r="N72" s="47">
        <f t="shared" si="5"/>
        <v>4.5682306240645469E-3</v>
      </c>
      <c r="O72" s="41">
        <f t="shared" si="6"/>
        <v>1</v>
      </c>
      <c r="P72" s="98"/>
      <c r="Q72" s="129" t="s">
        <v>104</v>
      </c>
    </row>
    <row r="73" spans="1:17" x14ac:dyDescent="0.3">
      <c r="A73" s="45" t="s">
        <v>82</v>
      </c>
      <c r="B73" s="144" t="s">
        <v>18</v>
      </c>
      <c r="C73" s="48"/>
      <c r="D73" s="49" t="s">
        <v>19</v>
      </c>
      <c r="E73" s="49" t="str">
        <f t="shared" si="1"/>
        <v>COMERCIALES Brik  Envase</v>
      </c>
      <c r="F73" s="49" t="s">
        <v>185</v>
      </c>
      <c r="G73" s="48">
        <v>1</v>
      </c>
      <c r="H73" s="48">
        <f t="shared" si="3"/>
        <v>72.2</v>
      </c>
      <c r="I73" s="48"/>
      <c r="J73" s="48"/>
      <c r="K73" s="48"/>
      <c r="L73" s="48"/>
      <c r="M73" s="48">
        <f t="shared" si="7"/>
        <v>71.2</v>
      </c>
      <c r="N73" s="50">
        <f t="shared" si="5"/>
        <v>4.6333051343788569E-3</v>
      </c>
      <c r="O73" s="48">
        <f t="shared" si="6"/>
        <v>1</v>
      </c>
      <c r="P73" s="99"/>
      <c r="Q73" s="129" t="s">
        <v>104</v>
      </c>
    </row>
    <row r="74" spans="1:17" x14ac:dyDescent="0.3">
      <c r="A74" s="45" t="s">
        <v>82</v>
      </c>
      <c r="B74" s="145" t="s">
        <v>51</v>
      </c>
      <c r="C74" s="44"/>
      <c r="D74" s="51" t="s">
        <v>19</v>
      </c>
      <c r="E74" s="51" t="str">
        <f t="shared" si="1"/>
        <v>COMERCIALES Vidrio   Envase</v>
      </c>
      <c r="F74" s="51" t="s">
        <v>186</v>
      </c>
      <c r="G74" s="44">
        <v>1</v>
      </c>
      <c r="H74" s="44">
        <f t="shared" si="3"/>
        <v>73.2</v>
      </c>
      <c r="I74" s="44"/>
      <c r="J74" s="44"/>
      <c r="K74" s="44"/>
      <c r="L74" s="44"/>
      <c r="M74" s="44">
        <f t="shared" si="7"/>
        <v>72.2</v>
      </c>
      <c r="N74" s="52">
        <f t="shared" si="5"/>
        <v>4.6983796446931668E-3</v>
      </c>
      <c r="O74" s="44">
        <f t="shared" si="6"/>
        <v>1</v>
      </c>
      <c r="P74" s="100"/>
      <c r="Q74" s="129" t="s">
        <v>104</v>
      </c>
    </row>
    <row r="75" spans="1:17" x14ac:dyDescent="0.3">
      <c r="A75" s="45" t="s">
        <v>82</v>
      </c>
      <c r="B75" s="145" t="s">
        <v>51</v>
      </c>
      <c r="C75" s="44"/>
      <c r="D75" s="51" t="s">
        <v>20</v>
      </c>
      <c r="E75" s="51" t="str">
        <f t="shared" si="1"/>
        <v>COMERCIALES Vidrio   No envase</v>
      </c>
      <c r="F75" s="51" t="s">
        <v>187</v>
      </c>
      <c r="G75" s="44">
        <v>1</v>
      </c>
      <c r="H75" s="44">
        <f t="shared" si="3"/>
        <v>74.2</v>
      </c>
      <c r="I75" s="44"/>
      <c r="J75" s="44"/>
      <c r="K75" s="44"/>
      <c r="L75" s="44"/>
      <c r="M75" s="44">
        <f t="shared" si="7"/>
        <v>73.2</v>
      </c>
      <c r="N75" s="52">
        <f t="shared" si="5"/>
        <v>4.7634541550074768E-3</v>
      </c>
      <c r="O75" s="44">
        <f t="shared" si="6"/>
        <v>1</v>
      </c>
      <c r="P75" s="100"/>
      <c r="Q75" s="129" t="s">
        <v>104</v>
      </c>
    </row>
    <row r="76" spans="1:17" x14ac:dyDescent="0.3">
      <c r="A76" s="45" t="s">
        <v>82</v>
      </c>
      <c r="B76" s="146" t="s">
        <v>21</v>
      </c>
      <c r="C76" s="42" t="s">
        <v>22</v>
      </c>
      <c r="D76" s="55" t="s">
        <v>19</v>
      </c>
      <c r="E76" s="55" t="str">
        <f t="shared" si="1"/>
        <v>COMERCIALES Metales férricos Acero Envase</v>
      </c>
      <c r="F76" s="55" t="s">
        <v>188</v>
      </c>
      <c r="G76" s="42">
        <v>1</v>
      </c>
      <c r="H76" s="42">
        <f t="shared" si="3"/>
        <v>75.2</v>
      </c>
      <c r="I76" s="42"/>
      <c r="J76" s="42"/>
      <c r="K76" s="42"/>
      <c r="L76" s="42"/>
      <c r="M76" s="42">
        <f t="shared" si="7"/>
        <v>74.2</v>
      </c>
      <c r="N76" s="56">
        <f t="shared" si="5"/>
        <v>4.8285286653217858E-3</v>
      </c>
      <c r="O76" s="42">
        <f t="shared" si="6"/>
        <v>1</v>
      </c>
      <c r="P76" s="101"/>
      <c r="Q76" s="129" t="s">
        <v>104</v>
      </c>
    </row>
    <row r="77" spans="1:17" x14ac:dyDescent="0.3">
      <c r="A77" s="45" t="s">
        <v>82</v>
      </c>
      <c r="B77" s="146" t="s">
        <v>21</v>
      </c>
      <c r="C77" s="42" t="s">
        <v>22</v>
      </c>
      <c r="D77" s="55" t="s">
        <v>20</v>
      </c>
      <c r="E77" s="55" t="str">
        <f t="shared" si="1"/>
        <v>COMERCIALES Metales férricos Acero No envase</v>
      </c>
      <c r="F77" s="55" t="s">
        <v>189</v>
      </c>
      <c r="G77" s="42">
        <v>1</v>
      </c>
      <c r="H77" s="42">
        <f t="shared" si="3"/>
        <v>76.2</v>
      </c>
      <c r="I77" s="42"/>
      <c r="J77" s="42"/>
      <c r="K77" s="42"/>
      <c r="L77" s="42"/>
      <c r="M77" s="42">
        <f t="shared" si="7"/>
        <v>75.2</v>
      </c>
      <c r="N77" s="56">
        <f t="shared" si="5"/>
        <v>4.8936031756360958E-3</v>
      </c>
      <c r="O77" s="42">
        <f t="shared" si="6"/>
        <v>1</v>
      </c>
      <c r="P77" s="101"/>
      <c r="Q77" s="92" t="s">
        <v>105</v>
      </c>
    </row>
    <row r="78" spans="1:17" x14ac:dyDescent="0.3">
      <c r="A78" s="45" t="s">
        <v>82</v>
      </c>
      <c r="B78" s="146" t="s">
        <v>23</v>
      </c>
      <c r="C78" s="42" t="s">
        <v>24</v>
      </c>
      <c r="D78" s="55" t="s">
        <v>19</v>
      </c>
      <c r="E78" s="55" t="str">
        <f t="shared" si="1"/>
        <v>COMERCIALES Metales no férricos Aluminio Envase</v>
      </c>
      <c r="F78" s="55" t="s">
        <v>190</v>
      </c>
      <c r="G78" s="42">
        <v>1</v>
      </c>
      <c r="H78" s="42">
        <f t="shared" si="3"/>
        <v>77.2</v>
      </c>
      <c r="I78" s="42"/>
      <c r="J78" s="42"/>
      <c r="K78" s="42"/>
      <c r="L78" s="42"/>
      <c r="M78" s="42">
        <f t="shared" si="7"/>
        <v>76.2</v>
      </c>
      <c r="N78" s="56">
        <f t="shared" si="5"/>
        <v>4.9586776859504057E-3</v>
      </c>
      <c r="O78" s="42">
        <f t="shared" si="6"/>
        <v>1</v>
      </c>
      <c r="P78" s="101"/>
      <c r="Q78" s="129" t="s">
        <v>104</v>
      </c>
    </row>
    <row r="79" spans="1:17" x14ac:dyDescent="0.3">
      <c r="A79" s="45" t="s">
        <v>82</v>
      </c>
      <c r="B79" s="146" t="s">
        <v>23</v>
      </c>
      <c r="C79" s="42" t="s">
        <v>24</v>
      </c>
      <c r="D79" s="55" t="s">
        <v>20</v>
      </c>
      <c r="E79" s="55" t="str">
        <f t="shared" si="1"/>
        <v>COMERCIALES Metales no férricos Aluminio No envase</v>
      </c>
      <c r="F79" s="55" t="s">
        <v>191</v>
      </c>
      <c r="G79" s="42">
        <v>1</v>
      </c>
      <c r="H79" s="42">
        <f t="shared" si="3"/>
        <v>78.2</v>
      </c>
      <c r="I79" s="42"/>
      <c r="J79" s="42"/>
      <c r="K79" s="42"/>
      <c r="L79" s="42"/>
      <c r="M79" s="42">
        <f t="shared" si="7"/>
        <v>77.2</v>
      </c>
      <c r="N79" s="56">
        <f t="shared" si="5"/>
        <v>5.0237521962647157E-3</v>
      </c>
      <c r="O79" s="42">
        <f t="shared" si="6"/>
        <v>1</v>
      </c>
      <c r="P79" s="101"/>
      <c r="Q79" s="92" t="s">
        <v>105</v>
      </c>
    </row>
    <row r="80" spans="1:17" x14ac:dyDescent="0.3">
      <c r="A80" s="45" t="s">
        <v>82</v>
      </c>
      <c r="B80" s="147" t="s">
        <v>25</v>
      </c>
      <c r="C80" s="57"/>
      <c r="D80" s="58" t="s">
        <v>19</v>
      </c>
      <c r="E80" s="58" t="str">
        <f t="shared" si="1"/>
        <v>COMERCIALES Madera  Envase</v>
      </c>
      <c r="F80" s="58" t="s">
        <v>192</v>
      </c>
      <c r="G80" s="57">
        <v>1</v>
      </c>
      <c r="H80" s="57">
        <f t="shared" si="3"/>
        <v>79.2</v>
      </c>
      <c r="I80" s="57"/>
      <c r="J80" s="57"/>
      <c r="K80" s="57"/>
      <c r="L80" s="57"/>
      <c r="M80" s="57">
        <f t="shared" si="7"/>
        <v>78.2</v>
      </c>
      <c r="N80" s="59">
        <f t="shared" ref="N80:N81" si="8">M80/SUM($M$16:$M$177)</f>
        <v>5.0888267065790256E-3</v>
      </c>
      <c r="O80" s="57">
        <f t="shared" si="6"/>
        <v>1</v>
      </c>
      <c r="P80" s="102"/>
      <c r="Q80" s="129" t="s">
        <v>104</v>
      </c>
    </row>
    <row r="81" spans="1:17" x14ac:dyDescent="0.3">
      <c r="A81" s="45" t="s">
        <v>82</v>
      </c>
      <c r="B81" s="147" t="s">
        <v>25</v>
      </c>
      <c r="C81" s="57"/>
      <c r="D81" s="58" t="s">
        <v>20</v>
      </c>
      <c r="E81" s="58" t="str">
        <f t="shared" ref="E81:E144" si="9">A81&amp;" "&amp;B81&amp;" "&amp;C81&amp;" "&amp;D81</f>
        <v>COMERCIALES Madera  No envase</v>
      </c>
      <c r="F81" s="58" t="s">
        <v>193</v>
      </c>
      <c r="G81" s="57">
        <v>1</v>
      </c>
      <c r="H81" s="57">
        <f t="shared" si="3"/>
        <v>80.2</v>
      </c>
      <c r="I81" s="57"/>
      <c r="J81" s="57"/>
      <c r="K81" s="57"/>
      <c r="L81" s="57"/>
      <c r="M81" s="57">
        <f t="shared" si="7"/>
        <v>79.2</v>
      </c>
      <c r="N81" s="59">
        <f t="shared" si="8"/>
        <v>5.1539012168933356E-3</v>
      </c>
      <c r="O81" s="57">
        <f t="shared" si="6"/>
        <v>1</v>
      </c>
      <c r="P81" s="102"/>
      <c r="Q81" s="92" t="s">
        <v>105</v>
      </c>
    </row>
    <row r="82" spans="1:17" x14ac:dyDescent="0.3">
      <c r="A82" s="45" t="s">
        <v>82</v>
      </c>
      <c r="B82" s="144" t="s">
        <v>89</v>
      </c>
      <c r="C82" s="49" t="s">
        <v>27</v>
      </c>
      <c r="D82" s="49" t="s">
        <v>19</v>
      </c>
      <c r="E82" s="49" t="str">
        <f t="shared" si="9"/>
        <v>COMERCIALES Plásticos (excepto SUP*) PET  Envase</v>
      </c>
      <c r="F82" s="49" t="s">
        <v>194</v>
      </c>
      <c r="G82" s="48">
        <v>1</v>
      </c>
      <c r="H82" s="48">
        <f t="shared" ref="H82:H145" si="10">H81+1</f>
        <v>81.2</v>
      </c>
      <c r="I82" s="48"/>
      <c r="J82" s="48"/>
      <c r="K82" s="48"/>
      <c r="L82" s="48"/>
      <c r="M82" s="48">
        <f t="shared" si="7"/>
        <v>80.2</v>
      </c>
      <c r="N82" s="50">
        <f t="shared" ref="N82:N123" si="11">M82/SUM($M$16:$M$177)</f>
        <v>5.2189757272076446E-3</v>
      </c>
      <c r="O82" s="48">
        <f t="shared" si="6"/>
        <v>1</v>
      </c>
      <c r="P82" s="99"/>
      <c r="Q82" s="129" t="s">
        <v>104</v>
      </c>
    </row>
    <row r="83" spans="1:17" x14ac:dyDescent="0.3">
      <c r="A83" s="45" t="s">
        <v>82</v>
      </c>
      <c r="B83" s="144" t="s">
        <v>89</v>
      </c>
      <c r="C83" s="49" t="s">
        <v>27</v>
      </c>
      <c r="D83" s="49" t="s">
        <v>20</v>
      </c>
      <c r="E83" s="49" t="str">
        <f t="shared" si="9"/>
        <v>COMERCIALES Plásticos (excepto SUP*) PET  No envase</v>
      </c>
      <c r="F83" s="49" t="s">
        <v>195</v>
      </c>
      <c r="G83" s="48">
        <v>1</v>
      </c>
      <c r="H83" s="48">
        <f t="shared" si="10"/>
        <v>82.2</v>
      </c>
      <c r="I83" s="48"/>
      <c r="J83" s="48"/>
      <c r="K83" s="48"/>
      <c r="L83" s="48"/>
      <c r="M83" s="48">
        <f t="shared" si="7"/>
        <v>81.2</v>
      </c>
      <c r="N83" s="50">
        <f t="shared" si="11"/>
        <v>5.2840502375219546E-3</v>
      </c>
      <c r="O83" s="48">
        <f t="shared" si="6"/>
        <v>1</v>
      </c>
      <c r="P83" s="99"/>
      <c r="Q83" s="92" t="s">
        <v>105</v>
      </c>
    </row>
    <row r="84" spans="1:17" x14ac:dyDescent="0.3">
      <c r="A84" s="45" t="s">
        <v>82</v>
      </c>
      <c r="B84" s="144" t="s">
        <v>89</v>
      </c>
      <c r="C84" s="49" t="s">
        <v>59</v>
      </c>
      <c r="D84" s="49" t="s">
        <v>19</v>
      </c>
      <c r="E84" s="49" t="str">
        <f t="shared" si="9"/>
        <v>COMERCIALES Plásticos (excepto SUP*) PEAD Envase</v>
      </c>
      <c r="F84" s="49" t="s">
        <v>196</v>
      </c>
      <c r="G84" s="48">
        <v>1</v>
      </c>
      <c r="H84" s="48">
        <f t="shared" si="10"/>
        <v>83.2</v>
      </c>
      <c r="I84" s="48"/>
      <c r="J84" s="48"/>
      <c r="K84" s="48"/>
      <c r="L84" s="48"/>
      <c r="M84" s="48">
        <f t="shared" si="7"/>
        <v>82.2</v>
      </c>
      <c r="N84" s="50">
        <f t="shared" si="11"/>
        <v>5.3491247478362645E-3</v>
      </c>
      <c r="O84" s="48">
        <f t="shared" si="6"/>
        <v>1</v>
      </c>
      <c r="P84" s="99"/>
      <c r="Q84" s="129" t="s">
        <v>104</v>
      </c>
    </row>
    <row r="85" spans="1:17" x14ac:dyDescent="0.3">
      <c r="A85" s="45" t="s">
        <v>82</v>
      </c>
      <c r="B85" s="144" t="s">
        <v>89</v>
      </c>
      <c r="C85" s="49" t="s">
        <v>59</v>
      </c>
      <c r="D85" s="49" t="s">
        <v>20</v>
      </c>
      <c r="E85" s="49" t="str">
        <f t="shared" si="9"/>
        <v>COMERCIALES Plásticos (excepto SUP*) PEAD No envase</v>
      </c>
      <c r="F85" s="49" t="s">
        <v>197</v>
      </c>
      <c r="G85" s="48">
        <v>1</v>
      </c>
      <c r="H85" s="48">
        <f t="shared" si="10"/>
        <v>84.2</v>
      </c>
      <c r="I85" s="48"/>
      <c r="J85" s="48"/>
      <c r="K85" s="48"/>
      <c r="L85" s="48"/>
      <c r="M85" s="48">
        <f t="shared" si="7"/>
        <v>83.2</v>
      </c>
      <c r="N85" s="50">
        <f t="shared" si="11"/>
        <v>5.4141992581505744E-3</v>
      </c>
      <c r="O85" s="48">
        <f t="shared" si="6"/>
        <v>1</v>
      </c>
      <c r="P85" s="99"/>
      <c r="Q85" s="92" t="s">
        <v>105</v>
      </c>
    </row>
    <row r="86" spans="1:17" x14ac:dyDescent="0.3">
      <c r="A86" s="45" t="s">
        <v>82</v>
      </c>
      <c r="B86" s="144" t="s">
        <v>89</v>
      </c>
      <c r="C86" s="49" t="s">
        <v>60</v>
      </c>
      <c r="D86" s="49" t="s">
        <v>19</v>
      </c>
      <c r="E86" s="49" t="str">
        <f t="shared" si="9"/>
        <v>COMERCIALES Plásticos (excepto SUP*) PEBD Envase</v>
      </c>
      <c r="F86" s="49" t="s">
        <v>198</v>
      </c>
      <c r="G86" s="48">
        <v>1</v>
      </c>
      <c r="H86" s="48">
        <f t="shared" si="10"/>
        <v>85.2</v>
      </c>
      <c r="I86" s="48"/>
      <c r="J86" s="48"/>
      <c r="K86" s="48"/>
      <c r="L86" s="48"/>
      <c r="M86" s="48">
        <f t="shared" si="7"/>
        <v>84.2</v>
      </c>
      <c r="N86" s="50">
        <f t="shared" si="11"/>
        <v>5.4792737684648844E-3</v>
      </c>
      <c r="O86" s="48">
        <f t="shared" si="6"/>
        <v>1</v>
      </c>
      <c r="P86" s="99"/>
      <c r="Q86" s="129" t="s">
        <v>104</v>
      </c>
    </row>
    <row r="87" spans="1:17" x14ac:dyDescent="0.3">
      <c r="A87" s="45" t="s">
        <v>82</v>
      </c>
      <c r="B87" s="144" t="s">
        <v>89</v>
      </c>
      <c r="C87" s="49" t="s">
        <v>60</v>
      </c>
      <c r="D87" s="49" t="s">
        <v>20</v>
      </c>
      <c r="E87" s="49" t="str">
        <f t="shared" si="9"/>
        <v>COMERCIALES Plásticos (excepto SUP*) PEBD No envase</v>
      </c>
      <c r="F87" s="49" t="s">
        <v>199</v>
      </c>
      <c r="G87" s="48">
        <v>1</v>
      </c>
      <c r="H87" s="48">
        <f t="shared" si="10"/>
        <v>86.2</v>
      </c>
      <c r="I87" s="48"/>
      <c r="J87" s="48"/>
      <c r="K87" s="48"/>
      <c r="L87" s="48"/>
      <c r="M87" s="48">
        <f t="shared" si="7"/>
        <v>85.2</v>
      </c>
      <c r="N87" s="50">
        <f t="shared" si="11"/>
        <v>5.5443482787791935E-3</v>
      </c>
      <c r="O87" s="48">
        <f t="shared" si="6"/>
        <v>1</v>
      </c>
      <c r="P87" s="99"/>
      <c r="Q87" s="92" t="s">
        <v>105</v>
      </c>
    </row>
    <row r="88" spans="1:17" x14ac:dyDescent="0.3">
      <c r="A88" s="45" t="s">
        <v>82</v>
      </c>
      <c r="B88" s="144" t="s">
        <v>89</v>
      </c>
      <c r="C88" s="49" t="s">
        <v>29</v>
      </c>
      <c r="D88" s="49" t="s">
        <v>19</v>
      </c>
      <c r="E88" s="49" t="str">
        <f t="shared" si="9"/>
        <v>COMERCIALES Plásticos (excepto SUP*) PVC Envase</v>
      </c>
      <c r="F88" s="49" t="s">
        <v>200</v>
      </c>
      <c r="G88" s="48">
        <v>1</v>
      </c>
      <c r="H88" s="48">
        <f t="shared" si="10"/>
        <v>87.2</v>
      </c>
      <c r="I88" s="48"/>
      <c r="J88" s="48"/>
      <c r="K88" s="48"/>
      <c r="L88" s="48"/>
      <c r="M88" s="48">
        <f t="shared" si="7"/>
        <v>86.2</v>
      </c>
      <c r="N88" s="50">
        <f t="shared" si="11"/>
        <v>5.6094227890935034E-3</v>
      </c>
      <c r="O88" s="48">
        <f t="shared" si="6"/>
        <v>1</v>
      </c>
      <c r="P88" s="99"/>
      <c r="Q88" s="129" t="s">
        <v>104</v>
      </c>
    </row>
    <row r="89" spans="1:17" x14ac:dyDescent="0.3">
      <c r="A89" s="45" t="s">
        <v>82</v>
      </c>
      <c r="B89" s="144" t="s">
        <v>89</v>
      </c>
      <c r="C89" s="49" t="s">
        <v>29</v>
      </c>
      <c r="D89" s="49" t="s">
        <v>20</v>
      </c>
      <c r="E89" s="49" t="str">
        <f t="shared" si="9"/>
        <v>COMERCIALES Plásticos (excepto SUP*) PVC No envase</v>
      </c>
      <c r="F89" s="49" t="s">
        <v>201</v>
      </c>
      <c r="G89" s="48">
        <v>1</v>
      </c>
      <c r="H89" s="48">
        <f t="shared" si="10"/>
        <v>88.2</v>
      </c>
      <c r="I89" s="48"/>
      <c r="J89" s="48"/>
      <c r="K89" s="48"/>
      <c r="L89" s="48"/>
      <c r="M89" s="48">
        <f t="shared" si="7"/>
        <v>87.2</v>
      </c>
      <c r="N89" s="50">
        <f t="shared" si="11"/>
        <v>5.6744972994078133E-3</v>
      </c>
      <c r="O89" s="48">
        <f t="shared" si="6"/>
        <v>1</v>
      </c>
      <c r="P89" s="99"/>
      <c r="Q89" s="92" t="s">
        <v>105</v>
      </c>
    </row>
    <row r="90" spans="1:17" x14ac:dyDescent="0.3">
      <c r="A90" s="45" t="s">
        <v>82</v>
      </c>
      <c r="B90" s="144" t="s">
        <v>89</v>
      </c>
      <c r="C90" s="49" t="s">
        <v>30</v>
      </c>
      <c r="D90" s="49" t="s">
        <v>19</v>
      </c>
      <c r="E90" s="49" t="str">
        <f t="shared" si="9"/>
        <v>COMERCIALES Plásticos (excepto SUP*) PP Envase</v>
      </c>
      <c r="F90" s="49" t="s">
        <v>202</v>
      </c>
      <c r="G90" s="48">
        <v>1</v>
      </c>
      <c r="H90" s="48">
        <f t="shared" si="10"/>
        <v>89.2</v>
      </c>
      <c r="I90" s="48"/>
      <c r="J90" s="48"/>
      <c r="K90" s="48"/>
      <c r="L90" s="48"/>
      <c r="M90" s="48">
        <f t="shared" si="7"/>
        <v>88.2</v>
      </c>
      <c r="N90" s="50">
        <f t="shared" si="11"/>
        <v>5.7395718097221233E-3</v>
      </c>
      <c r="O90" s="48">
        <f t="shared" si="6"/>
        <v>1</v>
      </c>
      <c r="P90" s="99"/>
      <c r="Q90" s="129" t="s">
        <v>104</v>
      </c>
    </row>
    <row r="91" spans="1:17" x14ac:dyDescent="0.3">
      <c r="A91" s="45" t="s">
        <v>82</v>
      </c>
      <c r="B91" s="144" t="s">
        <v>89</v>
      </c>
      <c r="C91" s="49" t="s">
        <v>30</v>
      </c>
      <c r="D91" s="49" t="s">
        <v>20</v>
      </c>
      <c r="E91" s="49" t="str">
        <f t="shared" si="9"/>
        <v>COMERCIALES Plásticos (excepto SUP*) PP No envase</v>
      </c>
      <c r="F91" s="49" t="s">
        <v>203</v>
      </c>
      <c r="G91" s="48">
        <v>1</v>
      </c>
      <c r="H91" s="48">
        <f t="shared" si="10"/>
        <v>90.2</v>
      </c>
      <c r="I91" s="48"/>
      <c r="J91" s="48"/>
      <c r="K91" s="48"/>
      <c r="L91" s="48"/>
      <c r="M91" s="48">
        <f t="shared" si="7"/>
        <v>89.2</v>
      </c>
      <c r="N91" s="50">
        <f t="shared" si="11"/>
        <v>5.8046463200364332E-3</v>
      </c>
      <c r="O91" s="48">
        <f t="shared" si="6"/>
        <v>1</v>
      </c>
      <c r="P91" s="99"/>
      <c r="Q91" s="92" t="s">
        <v>105</v>
      </c>
    </row>
    <row r="92" spans="1:17" ht="27.6" x14ac:dyDescent="0.3">
      <c r="A92" s="45" t="s">
        <v>82</v>
      </c>
      <c r="B92" s="144" t="s">
        <v>89</v>
      </c>
      <c r="C92" s="49" t="s">
        <v>31</v>
      </c>
      <c r="D92" s="49" t="s">
        <v>19</v>
      </c>
      <c r="E92" s="49" t="str">
        <f t="shared" si="9"/>
        <v>COMERCIALES Plásticos (excepto SUP*) PS (excepto EPS) Envase</v>
      </c>
      <c r="F92" s="49" t="s">
        <v>204</v>
      </c>
      <c r="G92" s="48">
        <v>1</v>
      </c>
      <c r="H92" s="48">
        <f t="shared" si="10"/>
        <v>91.2</v>
      </c>
      <c r="I92" s="48"/>
      <c r="J92" s="48"/>
      <c r="K92" s="48"/>
      <c r="L92" s="48"/>
      <c r="M92" s="48">
        <f t="shared" si="7"/>
        <v>90.2</v>
      </c>
      <c r="N92" s="50">
        <f t="shared" si="11"/>
        <v>5.8697208303507432E-3</v>
      </c>
      <c r="O92" s="48">
        <f t="shared" si="6"/>
        <v>1</v>
      </c>
      <c r="P92" s="99"/>
      <c r="Q92" s="129" t="s">
        <v>104</v>
      </c>
    </row>
    <row r="93" spans="1:17" ht="27.6" x14ac:dyDescent="0.3">
      <c r="A93" s="45" t="s">
        <v>82</v>
      </c>
      <c r="B93" s="144" t="s">
        <v>89</v>
      </c>
      <c r="C93" s="49" t="s">
        <v>31</v>
      </c>
      <c r="D93" s="49" t="s">
        <v>20</v>
      </c>
      <c r="E93" s="49" t="str">
        <f t="shared" si="9"/>
        <v>COMERCIALES Plásticos (excepto SUP*) PS (excepto EPS) No envase</v>
      </c>
      <c r="F93" s="49" t="s">
        <v>205</v>
      </c>
      <c r="G93" s="48">
        <v>1</v>
      </c>
      <c r="H93" s="60">
        <f t="shared" si="10"/>
        <v>92.2</v>
      </c>
      <c r="I93" s="60"/>
      <c r="J93" s="60"/>
      <c r="K93" s="60"/>
      <c r="L93" s="60"/>
      <c r="M93" s="48">
        <f t="shared" si="7"/>
        <v>91.2</v>
      </c>
      <c r="N93" s="50">
        <f t="shared" si="11"/>
        <v>5.9347953406650522E-3</v>
      </c>
      <c r="O93" s="48">
        <f t="shared" si="6"/>
        <v>1</v>
      </c>
      <c r="P93" s="99"/>
      <c r="Q93" s="92" t="s">
        <v>105</v>
      </c>
    </row>
    <row r="94" spans="1:17" ht="14.4" x14ac:dyDescent="0.3">
      <c r="A94" s="45" t="s">
        <v>82</v>
      </c>
      <c r="B94" s="144" t="s">
        <v>89</v>
      </c>
      <c r="C94" s="49" t="s">
        <v>32</v>
      </c>
      <c r="D94" s="49" t="s">
        <v>19</v>
      </c>
      <c r="E94" s="49" t="str">
        <f t="shared" si="9"/>
        <v>COMERCIALES Plásticos (excepto SUP*) EPS Envase</v>
      </c>
      <c r="F94" s="49" t="s">
        <v>206</v>
      </c>
      <c r="G94" s="48">
        <v>1</v>
      </c>
      <c r="H94" s="60">
        <f t="shared" si="10"/>
        <v>93.2</v>
      </c>
      <c r="I94" s="60"/>
      <c r="J94" s="60"/>
      <c r="K94" s="60"/>
      <c r="L94" s="60"/>
      <c r="M94" s="48">
        <f t="shared" si="7"/>
        <v>92.2</v>
      </c>
      <c r="N94" s="50">
        <f t="shared" si="11"/>
        <v>5.9998698509793622E-3</v>
      </c>
      <c r="O94" s="48">
        <f t="shared" si="6"/>
        <v>1</v>
      </c>
      <c r="P94" s="99"/>
      <c r="Q94" s="129" t="s">
        <v>104</v>
      </c>
    </row>
    <row r="95" spans="1:17" ht="14.4" x14ac:dyDescent="0.3">
      <c r="A95" s="45" t="s">
        <v>82</v>
      </c>
      <c r="B95" s="144" t="s">
        <v>89</v>
      </c>
      <c r="C95" s="49" t="s">
        <v>32</v>
      </c>
      <c r="D95" s="49" t="s">
        <v>20</v>
      </c>
      <c r="E95" s="49" t="str">
        <f t="shared" si="9"/>
        <v>COMERCIALES Plásticos (excepto SUP*) EPS No envase</v>
      </c>
      <c r="F95" s="49" t="s">
        <v>207</v>
      </c>
      <c r="G95" s="48">
        <v>1</v>
      </c>
      <c r="H95" s="60">
        <f t="shared" si="10"/>
        <v>94.2</v>
      </c>
      <c r="I95" s="60"/>
      <c r="J95" s="60"/>
      <c r="K95" s="60"/>
      <c r="L95" s="60"/>
      <c r="M95" s="48">
        <f t="shared" si="7"/>
        <v>93.2</v>
      </c>
      <c r="N95" s="50">
        <f t="shared" si="11"/>
        <v>6.0649443612936721E-3</v>
      </c>
      <c r="O95" s="48">
        <f t="shared" si="6"/>
        <v>1</v>
      </c>
      <c r="P95" s="99"/>
      <c r="Q95" s="92" t="s">
        <v>105</v>
      </c>
    </row>
    <row r="96" spans="1:17" ht="27.6" x14ac:dyDescent="0.3">
      <c r="A96" s="45" t="s">
        <v>82</v>
      </c>
      <c r="B96" s="144" t="s">
        <v>89</v>
      </c>
      <c r="C96" s="49" t="s">
        <v>33</v>
      </c>
      <c r="D96" s="49" t="s">
        <v>19</v>
      </c>
      <c r="E96" s="49" t="str">
        <f t="shared" si="9"/>
        <v>COMERCIALES Plásticos (excepto SUP*) Otros Plásticos Envase</v>
      </c>
      <c r="F96" s="49" t="s">
        <v>208</v>
      </c>
      <c r="G96" s="48">
        <v>1</v>
      </c>
      <c r="H96" s="60">
        <f t="shared" si="10"/>
        <v>95.2</v>
      </c>
      <c r="I96" s="60"/>
      <c r="J96" s="60"/>
      <c r="K96" s="60"/>
      <c r="L96" s="60"/>
      <c r="M96" s="48">
        <f t="shared" si="7"/>
        <v>94.2</v>
      </c>
      <c r="N96" s="50">
        <f t="shared" si="11"/>
        <v>6.1300188716079821E-3</v>
      </c>
      <c r="O96" s="48">
        <f t="shared" si="6"/>
        <v>1</v>
      </c>
      <c r="P96" s="99"/>
      <c r="Q96" s="129" t="s">
        <v>104</v>
      </c>
    </row>
    <row r="97" spans="1:17" ht="27.6" x14ac:dyDescent="0.3">
      <c r="A97" s="45" t="s">
        <v>82</v>
      </c>
      <c r="B97" s="144" t="s">
        <v>89</v>
      </c>
      <c r="C97" s="49" t="s">
        <v>33</v>
      </c>
      <c r="D97" s="49" t="s">
        <v>20</v>
      </c>
      <c r="E97" s="49" t="str">
        <f t="shared" si="9"/>
        <v>COMERCIALES Plásticos (excepto SUP*) Otros Plásticos No envase</v>
      </c>
      <c r="F97" s="49" t="s">
        <v>209</v>
      </c>
      <c r="G97" s="48">
        <v>1</v>
      </c>
      <c r="H97" s="60">
        <f t="shared" si="10"/>
        <v>96.2</v>
      </c>
      <c r="I97" s="60"/>
      <c r="J97" s="60"/>
      <c r="K97" s="60"/>
      <c r="L97" s="60"/>
      <c r="M97" s="48">
        <f t="shared" si="7"/>
        <v>95.2</v>
      </c>
      <c r="N97" s="50">
        <f t="shared" si="11"/>
        <v>6.195093381922292E-3</v>
      </c>
      <c r="O97" s="48">
        <f t="shared" si="6"/>
        <v>1</v>
      </c>
      <c r="P97" s="99"/>
      <c r="Q97" s="92" t="s">
        <v>105</v>
      </c>
    </row>
    <row r="98" spans="1:17" ht="12.75" customHeight="1" x14ac:dyDescent="0.3">
      <c r="A98" s="45" t="s">
        <v>82</v>
      </c>
      <c r="B98" s="144" t="s">
        <v>34</v>
      </c>
      <c r="C98" s="61" t="s">
        <v>35</v>
      </c>
      <c r="D98" s="61"/>
      <c r="E98" s="61" t="str">
        <f t="shared" si="9"/>
        <v xml:space="preserve">COMERCIALES * Plásticos de un solo uso (SUP) [iii] Botellas para bebidas de hasta tres litros de capacidad, incluidos sus tapas y tapones </v>
      </c>
      <c r="F98" s="61" t="s">
        <v>210</v>
      </c>
      <c r="G98" s="48">
        <v>1</v>
      </c>
      <c r="H98" s="60">
        <f t="shared" si="10"/>
        <v>97.2</v>
      </c>
      <c r="I98" s="60"/>
      <c r="J98" s="60"/>
      <c r="K98" s="60"/>
      <c r="L98" s="60"/>
      <c r="M98" s="48">
        <f t="shared" si="7"/>
        <v>96.2</v>
      </c>
      <c r="N98" s="50">
        <f t="shared" si="11"/>
        <v>6.2601678922366011E-3</v>
      </c>
      <c r="O98" s="48">
        <f t="shared" si="6"/>
        <v>1</v>
      </c>
      <c r="P98" s="103"/>
      <c r="Q98" s="129" t="s">
        <v>104</v>
      </c>
    </row>
    <row r="99" spans="1:17" ht="12.75" customHeight="1" x14ac:dyDescent="0.3">
      <c r="A99" s="45" t="s">
        <v>82</v>
      </c>
      <c r="B99" s="144" t="s">
        <v>34</v>
      </c>
      <c r="C99" s="49" t="s">
        <v>36</v>
      </c>
      <c r="D99" s="49"/>
      <c r="E99" s="49" t="str">
        <f t="shared" si="9"/>
        <v xml:space="preserve">COMERCIALES * Plásticos de un solo uso (SUP) [iii] Productos de tabaco con filtro y fitros comercializados para utilizarse en combinación con productos del tabaco </v>
      </c>
      <c r="F99" s="49" t="s">
        <v>211</v>
      </c>
      <c r="G99" s="48">
        <v>1</v>
      </c>
      <c r="H99" s="60">
        <f t="shared" si="10"/>
        <v>98.2</v>
      </c>
      <c r="I99" s="60"/>
      <c r="J99" s="60"/>
      <c r="K99" s="60"/>
      <c r="L99" s="60"/>
      <c r="M99" s="48">
        <f t="shared" si="7"/>
        <v>97.2</v>
      </c>
      <c r="N99" s="50">
        <f t="shared" si="11"/>
        <v>6.325242402550911E-3</v>
      </c>
      <c r="O99" s="48">
        <f t="shared" si="6"/>
        <v>1</v>
      </c>
      <c r="P99" s="99"/>
      <c r="Q99" s="92" t="s">
        <v>105</v>
      </c>
    </row>
    <row r="100" spans="1:17" ht="14.4" x14ac:dyDescent="0.3">
      <c r="A100" s="45" t="s">
        <v>82</v>
      </c>
      <c r="B100" s="144" t="s">
        <v>34</v>
      </c>
      <c r="C100" s="62" t="s">
        <v>37</v>
      </c>
      <c r="D100" s="62"/>
      <c r="E100" s="62" t="str">
        <f t="shared" si="9"/>
        <v xml:space="preserve">COMERCIALES * Plásticos de un solo uso (SUP) [iii] Recipientes para alimentos </v>
      </c>
      <c r="F100" s="62" t="s">
        <v>212</v>
      </c>
      <c r="G100" s="48">
        <v>1</v>
      </c>
      <c r="H100" s="60">
        <f t="shared" si="10"/>
        <v>99.2</v>
      </c>
      <c r="I100" s="60"/>
      <c r="J100" s="60"/>
      <c r="K100" s="60"/>
      <c r="L100" s="60"/>
      <c r="M100" s="48">
        <f t="shared" si="7"/>
        <v>98.2</v>
      </c>
      <c r="N100" s="50">
        <f t="shared" si="11"/>
        <v>6.390316912865221E-3</v>
      </c>
      <c r="O100" s="48">
        <f t="shared" si="6"/>
        <v>1</v>
      </c>
      <c r="P100" s="104"/>
      <c r="Q100" s="129" t="s">
        <v>104</v>
      </c>
    </row>
    <row r="101" spans="1:17" ht="12.75" customHeight="1" x14ac:dyDescent="0.3">
      <c r="A101" s="45" t="s">
        <v>82</v>
      </c>
      <c r="B101" s="144" t="s">
        <v>34</v>
      </c>
      <c r="C101" s="63" t="s">
        <v>38</v>
      </c>
      <c r="D101" s="63"/>
      <c r="E101" s="63" t="str">
        <f t="shared" si="9"/>
        <v xml:space="preserve">COMERCIALES * Plásticos de un solo uso (SUP) [iii] Vasos para bebidas (incluidas sus tapas y tapones) </v>
      </c>
      <c r="F101" s="63" t="s">
        <v>213</v>
      </c>
      <c r="G101" s="48">
        <v>1</v>
      </c>
      <c r="H101" s="60">
        <f t="shared" si="10"/>
        <v>100.2</v>
      </c>
      <c r="I101" s="60"/>
      <c r="J101" s="60"/>
      <c r="K101" s="60"/>
      <c r="L101" s="60"/>
      <c r="M101" s="48">
        <f t="shared" si="7"/>
        <v>99.2</v>
      </c>
      <c r="N101" s="50">
        <f t="shared" si="11"/>
        <v>6.4553914231795309E-3</v>
      </c>
      <c r="O101" s="48">
        <f t="shared" si="6"/>
        <v>1</v>
      </c>
      <c r="P101" s="105"/>
      <c r="Q101" s="129" t="s">
        <v>104</v>
      </c>
    </row>
    <row r="102" spans="1:17" ht="14.4" x14ac:dyDescent="0.3">
      <c r="A102" s="45" t="s">
        <v>82</v>
      </c>
      <c r="B102" s="144" t="s">
        <v>34</v>
      </c>
      <c r="C102" s="63" t="s">
        <v>41</v>
      </c>
      <c r="D102" s="63"/>
      <c r="E102" s="63" t="str">
        <f t="shared" si="9"/>
        <v xml:space="preserve">COMERCIALES * Plásticos de un solo uso (SUP) [iii] Otros </v>
      </c>
      <c r="F102" s="63" t="s">
        <v>214</v>
      </c>
      <c r="G102" s="48">
        <v>1</v>
      </c>
      <c r="H102" s="60">
        <f t="shared" si="10"/>
        <v>101.2</v>
      </c>
      <c r="I102" s="60"/>
      <c r="J102" s="60"/>
      <c r="K102" s="60"/>
      <c r="L102" s="60"/>
      <c r="M102" s="48">
        <f t="shared" si="7"/>
        <v>100.2</v>
      </c>
      <c r="N102" s="50">
        <f t="shared" si="11"/>
        <v>6.5204659334938408E-3</v>
      </c>
      <c r="O102" s="48">
        <f t="shared" si="6"/>
        <v>1</v>
      </c>
      <c r="P102" s="105"/>
      <c r="Q102" s="129" t="s">
        <v>104</v>
      </c>
    </row>
    <row r="103" spans="1:17" ht="12.75" customHeight="1" x14ac:dyDescent="0.3">
      <c r="A103" s="45" t="s">
        <v>82</v>
      </c>
      <c r="B103" s="148" t="s">
        <v>39</v>
      </c>
      <c r="C103" s="67" t="s">
        <v>66</v>
      </c>
      <c r="D103" s="67"/>
      <c r="E103" s="67" t="str">
        <f t="shared" si="9"/>
        <v xml:space="preserve">COMERCIALES Biorresiduos Restos de alimentos no cocinados y restos derivados de la preparación de alimentos </v>
      </c>
      <c r="F103" s="67" t="s">
        <v>215</v>
      </c>
      <c r="G103" s="66">
        <v>1</v>
      </c>
      <c r="H103" s="68">
        <f t="shared" si="10"/>
        <v>102.2</v>
      </c>
      <c r="I103" s="68"/>
      <c r="J103" s="68"/>
      <c r="K103" s="68"/>
      <c r="L103" s="68"/>
      <c r="M103" s="66">
        <f t="shared" si="7"/>
        <v>101.2</v>
      </c>
      <c r="N103" s="69">
        <f t="shared" si="11"/>
        <v>6.5855404438081508E-3</v>
      </c>
      <c r="O103" s="66">
        <f t="shared" si="6"/>
        <v>1</v>
      </c>
      <c r="P103" s="106"/>
      <c r="Q103" s="129" t="s">
        <v>104</v>
      </c>
    </row>
    <row r="104" spans="1:17" ht="41.4" x14ac:dyDescent="0.3">
      <c r="A104" s="45" t="s">
        <v>82</v>
      </c>
      <c r="B104" s="148" t="s">
        <v>39</v>
      </c>
      <c r="C104" s="67" t="s">
        <v>67</v>
      </c>
      <c r="D104" s="67"/>
      <c r="E104" s="67" t="str">
        <f t="shared" si="9"/>
        <v xml:space="preserve">COMERCIALES Biorresiduos Restos de alimentos cocinados </v>
      </c>
      <c r="F104" s="67" t="s">
        <v>216</v>
      </c>
      <c r="G104" s="66">
        <v>1</v>
      </c>
      <c r="H104" s="68">
        <f t="shared" si="10"/>
        <v>103.2</v>
      </c>
      <c r="I104" s="68"/>
      <c r="J104" s="68"/>
      <c r="K104" s="68"/>
      <c r="L104" s="68"/>
      <c r="M104" s="66">
        <f t="shared" si="7"/>
        <v>102.2</v>
      </c>
      <c r="N104" s="69">
        <f t="shared" si="11"/>
        <v>6.6506149541224599E-3</v>
      </c>
      <c r="O104" s="66">
        <f t="shared" si="6"/>
        <v>1</v>
      </c>
      <c r="P104" s="106"/>
      <c r="Q104" s="129" t="s">
        <v>104</v>
      </c>
    </row>
    <row r="105" spans="1:17" ht="12.75" customHeight="1" x14ac:dyDescent="0.3">
      <c r="A105" s="45" t="s">
        <v>82</v>
      </c>
      <c r="B105" s="148" t="s">
        <v>39</v>
      </c>
      <c r="C105" s="67" t="s">
        <v>68</v>
      </c>
      <c r="D105" s="67"/>
      <c r="E105" s="67" t="str">
        <f t="shared" si="9"/>
        <v xml:space="preserve">COMERCIALES Biorresiduos Celulosas: Papel de cocina, servilletas </v>
      </c>
      <c r="F105" s="67" t="s">
        <v>217</v>
      </c>
      <c r="G105" s="66">
        <v>1</v>
      </c>
      <c r="H105" s="68">
        <f t="shared" si="10"/>
        <v>104.2</v>
      </c>
      <c r="I105" s="68"/>
      <c r="J105" s="68"/>
      <c r="K105" s="68"/>
      <c r="L105" s="68"/>
      <c r="M105" s="66">
        <f t="shared" si="7"/>
        <v>103.2</v>
      </c>
      <c r="N105" s="69">
        <f t="shared" si="11"/>
        <v>6.7156894644367698E-3</v>
      </c>
      <c r="O105" s="66">
        <f t="shared" si="6"/>
        <v>1</v>
      </c>
      <c r="P105" s="106"/>
      <c r="Q105" s="129" t="s">
        <v>104</v>
      </c>
    </row>
    <row r="106" spans="1:17" ht="12.75" customHeight="1" x14ac:dyDescent="0.3">
      <c r="A106" s="45" t="s">
        <v>82</v>
      </c>
      <c r="B106" s="148" t="s">
        <v>39</v>
      </c>
      <c r="C106" s="67" t="s">
        <v>81</v>
      </c>
      <c r="D106" s="67"/>
      <c r="E106" s="67" t="str">
        <f t="shared" si="9"/>
        <v xml:space="preserve">COMERCIALES Biorresiduos Otros restos de cocina compostables: bolsas, corchos, palillos de madera y otros resto compostables (vasos de papel, etc.) </v>
      </c>
      <c r="F106" s="67" t="s">
        <v>218</v>
      </c>
      <c r="G106" s="66">
        <v>1</v>
      </c>
      <c r="H106" s="66">
        <f t="shared" si="10"/>
        <v>105.2</v>
      </c>
      <c r="I106" s="66"/>
      <c r="J106" s="66"/>
      <c r="K106" s="66"/>
      <c r="L106" s="66"/>
      <c r="M106" s="66">
        <f t="shared" si="7"/>
        <v>104.2</v>
      </c>
      <c r="N106" s="69">
        <f t="shared" si="11"/>
        <v>6.7807639747510797E-3</v>
      </c>
      <c r="O106" s="66">
        <f t="shared" si="6"/>
        <v>1</v>
      </c>
      <c r="P106" s="106"/>
      <c r="Q106" s="129" t="s">
        <v>104</v>
      </c>
    </row>
    <row r="107" spans="1:17" ht="12.75" customHeight="1" x14ac:dyDescent="0.3">
      <c r="A107" s="45" t="s">
        <v>82</v>
      </c>
      <c r="B107" s="148" t="s">
        <v>39</v>
      </c>
      <c r="C107" s="67" t="s">
        <v>69</v>
      </c>
      <c r="D107" s="67"/>
      <c r="E107" s="67" t="str">
        <f t="shared" si="9"/>
        <v xml:space="preserve">COMERCIALES Biorresiduos Derroche alimentario: alimentos caducados y en mal estado (a granel o en envases abiertos, el envase se separará en su fracción) </v>
      </c>
      <c r="F107" s="67" t="s">
        <v>219</v>
      </c>
      <c r="G107" s="66">
        <v>1</v>
      </c>
      <c r="H107" s="66">
        <f t="shared" si="10"/>
        <v>106.2</v>
      </c>
      <c r="I107" s="66"/>
      <c r="J107" s="66"/>
      <c r="K107" s="66"/>
      <c r="L107" s="66"/>
      <c r="M107" s="66">
        <f t="shared" si="7"/>
        <v>105.2</v>
      </c>
      <c r="N107" s="69">
        <f t="shared" si="11"/>
        <v>6.8458384850653897E-3</v>
      </c>
      <c r="O107" s="66">
        <f t="shared" si="6"/>
        <v>1</v>
      </c>
      <c r="P107" s="106"/>
      <c r="Q107" s="129" t="s">
        <v>104</v>
      </c>
    </row>
    <row r="108" spans="1:17" ht="12.75" customHeight="1" x14ac:dyDescent="0.3">
      <c r="A108" s="45" t="s">
        <v>82</v>
      </c>
      <c r="B108" s="148" t="s">
        <v>39</v>
      </c>
      <c r="C108" s="67" t="s">
        <v>71</v>
      </c>
      <c r="D108" s="67"/>
      <c r="E108" s="67" t="str">
        <f t="shared" si="9"/>
        <v xml:space="preserve">COMERCIALES Biorresiduos Restos vegetales (césped, hojas, flores, etc.) </v>
      </c>
      <c r="F108" s="67" t="s">
        <v>220</v>
      </c>
      <c r="G108" s="66">
        <v>1</v>
      </c>
      <c r="H108" s="66">
        <f t="shared" si="10"/>
        <v>107.2</v>
      </c>
      <c r="I108" s="66"/>
      <c r="J108" s="66"/>
      <c r="K108" s="66"/>
      <c r="L108" s="66"/>
      <c r="M108" s="66">
        <f t="shared" si="7"/>
        <v>106.2</v>
      </c>
      <c r="N108" s="69">
        <f t="shared" si="11"/>
        <v>6.9109129953796996E-3</v>
      </c>
      <c r="O108" s="66">
        <f t="shared" si="6"/>
        <v>1</v>
      </c>
      <c r="P108" s="106"/>
      <c r="Q108" s="129" t="s">
        <v>104</v>
      </c>
    </row>
    <row r="109" spans="1:17" ht="12.75" customHeight="1" x14ac:dyDescent="0.3">
      <c r="A109" s="45" t="s">
        <v>82</v>
      </c>
      <c r="B109" s="148" t="s">
        <v>39</v>
      </c>
      <c r="C109" s="67" t="s">
        <v>72</v>
      </c>
      <c r="D109" s="67"/>
      <c r="E109" s="67" t="str">
        <f t="shared" si="9"/>
        <v xml:space="preserve">COMERCIALES Biorresiduos Restos de poda (ramas, arbustos, etc.) </v>
      </c>
      <c r="F109" s="67" t="s">
        <v>221</v>
      </c>
      <c r="G109" s="66">
        <v>1</v>
      </c>
      <c r="H109" s="66">
        <f t="shared" si="10"/>
        <v>108.2</v>
      </c>
      <c r="I109" s="66"/>
      <c r="J109" s="66"/>
      <c r="K109" s="66"/>
      <c r="L109" s="66"/>
      <c r="M109" s="66">
        <f t="shared" si="7"/>
        <v>107.2</v>
      </c>
      <c r="N109" s="69">
        <f t="shared" si="11"/>
        <v>6.9759875056940087E-3</v>
      </c>
      <c r="O109" s="66">
        <f t="shared" si="6"/>
        <v>1</v>
      </c>
      <c r="P109" s="106"/>
      <c r="Q109" s="129" t="s">
        <v>104</v>
      </c>
    </row>
    <row r="110" spans="1:17" ht="12.75" customHeight="1" x14ac:dyDescent="0.3">
      <c r="A110" s="45" t="s">
        <v>82</v>
      </c>
      <c r="B110" s="65" t="s">
        <v>84</v>
      </c>
      <c r="C110" s="64" t="s">
        <v>70</v>
      </c>
      <c r="D110" s="64"/>
      <c r="E110" s="64" t="str">
        <f t="shared" si="9"/>
        <v xml:space="preserve">COMERCIALES ACEITE Aceite de cocina usados (contenidos en envases) </v>
      </c>
      <c r="F110" s="64" t="s">
        <v>222</v>
      </c>
      <c r="G110" s="53">
        <v>1</v>
      </c>
      <c r="H110" s="53">
        <f t="shared" si="10"/>
        <v>109.2</v>
      </c>
      <c r="I110" s="53"/>
      <c r="J110" s="53"/>
      <c r="K110" s="53"/>
      <c r="L110" s="53"/>
      <c r="M110" s="53">
        <f t="shared" si="7"/>
        <v>108.2</v>
      </c>
      <c r="N110" s="54">
        <f t="shared" si="11"/>
        <v>7.0410620160083186E-3</v>
      </c>
      <c r="O110" s="53">
        <f t="shared" si="6"/>
        <v>1</v>
      </c>
      <c r="P110" s="107"/>
      <c r="Q110" s="129" t="s">
        <v>104</v>
      </c>
    </row>
    <row r="111" spans="1:17" x14ac:dyDescent="0.3">
      <c r="A111" s="45" t="s">
        <v>82</v>
      </c>
      <c r="B111" s="70" t="s">
        <v>91</v>
      </c>
      <c r="C111" s="71" t="s">
        <v>58</v>
      </c>
      <c r="D111" s="71"/>
      <c r="E111" s="71" t="str">
        <f t="shared" si="9"/>
        <v xml:space="preserve">COMERCIALES RAEE [iv] RAEE  </v>
      </c>
      <c r="F111" s="71" t="s">
        <v>223</v>
      </c>
      <c r="G111" s="72">
        <v>1</v>
      </c>
      <c r="H111" s="72">
        <f t="shared" si="10"/>
        <v>110.2</v>
      </c>
      <c r="I111" s="72"/>
      <c r="J111" s="72"/>
      <c r="K111" s="72"/>
      <c r="L111" s="72"/>
      <c r="M111" s="72">
        <f t="shared" si="7"/>
        <v>109.2</v>
      </c>
      <c r="N111" s="73">
        <f t="shared" si="11"/>
        <v>7.1061365263226286E-3</v>
      </c>
      <c r="O111" s="72">
        <f t="shared" si="6"/>
        <v>1</v>
      </c>
      <c r="P111" s="108"/>
      <c r="Q111" s="129" t="s">
        <v>104</v>
      </c>
    </row>
    <row r="112" spans="1:17" ht="41.4" x14ac:dyDescent="0.3">
      <c r="A112" s="45" t="s">
        <v>82</v>
      </c>
      <c r="B112" s="70" t="s">
        <v>73</v>
      </c>
      <c r="C112" s="71" t="s">
        <v>42</v>
      </c>
      <c r="D112" s="71"/>
      <c r="E112" s="71" t="str">
        <f t="shared" si="9"/>
        <v xml:space="preserve">COMERCIALES Baterias Pilas y Acumuladores </v>
      </c>
      <c r="F112" s="71" t="s">
        <v>224</v>
      </c>
      <c r="G112" s="72">
        <v>1</v>
      </c>
      <c r="H112" s="72">
        <f t="shared" si="10"/>
        <v>111.2</v>
      </c>
      <c r="I112" s="72"/>
      <c r="J112" s="72"/>
      <c r="K112" s="72"/>
      <c r="L112" s="72"/>
      <c r="M112" s="72">
        <f t="shared" si="7"/>
        <v>110.2</v>
      </c>
      <c r="N112" s="73">
        <f t="shared" si="11"/>
        <v>7.1712110366369385E-3</v>
      </c>
      <c r="O112" s="72">
        <f t="shared" si="6"/>
        <v>1</v>
      </c>
      <c r="P112" s="108"/>
      <c r="Q112" s="129" t="s">
        <v>104</v>
      </c>
    </row>
    <row r="113" spans="1:17" ht="27.6" x14ac:dyDescent="0.3">
      <c r="A113" s="45" t="s">
        <v>82</v>
      </c>
      <c r="B113" s="70" t="s">
        <v>73</v>
      </c>
      <c r="C113" s="71" t="s">
        <v>43</v>
      </c>
      <c r="D113" s="71"/>
      <c r="E113" s="71" t="str">
        <f t="shared" si="9"/>
        <v xml:space="preserve">COMERCIALES Baterias Baterías de Vehículos </v>
      </c>
      <c r="F113" s="71" t="s">
        <v>225</v>
      </c>
      <c r="G113" s="72">
        <v>1</v>
      </c>
      <c r="H113" s="72">
        <f t="shared" si="10"/>
        <v>112.2</v>
      </c>
      <c r="I113" s="72"/>
      <c r="J113" s="72"/>
      <c r="K113" s="72"/>
      <c r="L113" s="72"/>
      <c r="M113" s="72">
        <f t="shared" si="7"/>
        <v>111.2</v>
      </c>
      <c r="N113" s="73">
        <f t="shared" si="11"/>
        <v>7.2362855469512485E-3</v>
      </c>
      <c r="O113" s="72">
        <f t="shared" si="6"/>
        <v>1</v>
      </c>
      <c r="P113" s="108"/>
      <c r="Q113" s="129" t="s">
        <v>104</v>
      </c>
    </row>
    <row r="114" spans="1:17" ht="27.6" x14ac:dyDescent="0.3">
      <c r="A114" s="45" t="s">
        <v>82</v>
      </c>
      <c r="B114" s="84" t="s">
        <v>74</v>
      </c>
      <c r="C114" s="85" t="s">
        <v>44</v>
      </c>
      <c r="D114" s="85"/>
      <c r="E114" s="85" t="str">
        <f t="shared" si="9"/>
        <v xml:space="preserve">COMERCIALES Textiles Textiles y piel </v>
      </c>
      <c r="F114" s="85" t="s">
        <v>226</v>
      </c>
      <c r="G114" s="86">
        <v>1</v>
      </c>
      <c r="H114" s="86">
        <f t="shared" si="10"/>
        <v>113.2</v>
      </c>
      <c r="I114" s="86"/>
      <c r="J114" s="86"/>
      <c r="K114" s="86"/>
      <c r="L114" s="86"/>
      <c r="M114" s="86">
        <f t="shared" si="7"/>
        <v>112.2</v>
      </c>
      <c r="N114" s="87">
        <f t="shared" si="11"/>
        <v>7.3013600572655584E-3</v>
      </c>
      <c r="O114" s="86">
        <f t="shared" si="6"/>
        <v>1</v>
      </c>
      <c r="P114" s="109"/>
      <c r="Q114" s="129" t="s">
        <v>104</v>
      </c>
    </row>
    <row r="115" spans="1:17" ht="12.75" customHeight="1" x14ac:dyDescent="0.3">
      <c r="A115" s="45" t="s">
        <v>82</v>
      </c>
      <c r="B115" s="75" t="s">
        <v>75</v>
      </c>
      <c r="C115" s="76" t="s">
        <v>45</v>
      </c>
      <c r="D115" s="76"/>
      <c r="E115" s="76" t="str">
        <f t="shared" si="9"/>
        <v xml:space="preserve">COMERCIALES Textiles sanitarios Textiles y celulósicos sanitarios </v>
      </c>
      <c r="F115" s="76" t="s">
        <v>227</v>
      </c>
      <c r="G115" s="77">
        <v>1</v>
      </c>
      <c r="H115" s="77">
        <f t="shared" si="10"/>
        <v>114.2</v>
      </c>
      <c r="I115" s="77"/>
      <c r="J115" s="77"/>
      <c r="K115" s="77"/>
      <c r="L115" s="77"/>
      <c r="M115" s="77">
        <f t="shared" si="7"/>
        <v>113.2</v>
      </c>
      <c r="N115" s="78">
        <f t="shared" si="11"/>
        <v>7.3664345675798675E-3</v>
      </c>
      <c r="O115" s="77">
        <f t="shared" si="6"/>
        <v>1</v>
      </c>
      <c r="P115" s="110"/>
      <c r="Q115" s="92" t="s">
        <v>105</v>
      </c>
    </row>
    <row r="116" spans="1:17" ht="27.6" x14ac:dyDescent="0.3">
      <c r="A116" s="45" t="s">
        <v>82</v>
      </c>
      <c r="B116" s="149" t="s">
        <v>76</v>
      </c>
      <c r="C116" s="80" t="s">
        <v>48</v>
      </c>
      <c r="D116" s="80"/>
      <c r="E116" s="80" t="str">
        <f t="shared" si="9"/>
        <v xml:space="preserve">COMERCIALES Tierras y RCDs Tierras y Escombros </v>
      </c>
      <c r="F116" s="80" t="s">
        <v>228</v>
      </c>
      <c r="G116" s="81">
        <v>1</v>
      </c>
      <c r="H116" s="81">
        <f t="shared" si="10"/>
        <v>115.2</v>
      </c>
      <c r="I116" s="81"/>
      <c r="J116" s="81"/>
      <c r="K116" s="81"/>
      <c r="L116" s="81"/>
      <c r="M116" s="81">
        <f t="shared" si="7"/>
        <v>114.2</v>
      </c>
      <c r="N116" s="82">
        <f t="shared" si="11"/>
        <v>7.4315090778941774E-3</v>
      </c>
      <c r="O116" s="81">
        <f t="shared" si="6"/>
        <v>1</v>
      </c>
      <c r="P116" s="111"/>
      <c r="Q116" s="129" t="s">
        <v>104</v>
      </c>
    </row>
    <row r="117" spans="1:17" ht="41.4" x14ac:dyDescent="0.3">
      <c r="A117" s="45" t="s">
        <v>82</v>
      </c>
      <c r="B117" s="149" t="s">
        <v>76</v>
      </c>
      <c r="C117" s="80" t="s">
        <v>77</v>
      </c>
      <c r="D117" s="80"/>
      <c r="E117" s="80" t="str">
        <f t="shared" si="9"/>
        <v xml:space="preserve">COMERCIALES Tierras y RCDs Restos de obras menores </v>
      </c>
      <c r="F117" s="80" t="s">
        <v>229</v>
      </c>
      <c r="G117" s="81">
        <v>1</v>
      </c>
      <c r="H117" s="81">
        <f t="shared" si="10"/>
        <v>116.2</v>
      </c>
      <c r="I117" s="81"/>
      <c r="J117" s="81"/>
      <c r="K117" s="81"/>
      <c r="L117" s="81"/>
      <c r="M117" s="81">
        <f t="shared" si="7"/>
        <v>115.2</v>
      </c>
      <c r="N117" s="82">
        <f t="shared" si="11"/>
        <v>7.4965835882084874E-3</v>
      </c>
      <c r="O117" s="81">
        <f t="shared" si="6"/>
        <v>1</v>
      </c>
      <c r="P117" s="111"/>
      <c r="Q117" s="129" t="s">
        <v>104</v>
      </c>
    </row>
    <row r="118" spans="1:17" ht="12.75" customHeight="1" x14ac:dyDescent="0.3">
      <c r="A118" s="45" t="s">
        <v>82</v>
      </c>
      <c r="B118" s="149" t="s">
        <v>41</v>
      </c>
      <c r="C118" s="83" t="s">
        <v>78</v>
      </c>
      <c r="D118" s="83"/>
      <c r="E118" s="83" t="str">
        <f t="shared" si="9"/>
        <v xml:space="preserve">COMERCIALES Otros Inclasificables mayores de 50 mm </v>
      </c>
      <c r="F118" s="83" t="s">
        <v>230</v>
      </c>
      <c r="G118" s="81">
        <v>1</v>
      </c>
      <c r="H118" s="81">
        <f t="shared" si="10"/>
        <v>117.2</v>
      </c>
      <c r="I118" s="81"/>
      <c r="J118" s="81"/>
      <c r="K118" s="81"/>
      <c r="L118" s="81"/>
      <c r="M118" s="81">
        <f t="shared" si="7"/>
        <v>116.2</v>
      </c>
      <c r="N118" s="82">
        <f t="shared" si="11"/>
        <v>7.5616580985227973E-3</v>
      </c>
      <c r="O118" s="81">
        <f t="shared" si="6"/>
        <v>1</v>
      </c>
      <c r="P118" s="112"/>
      <c r="Q118" s="92" t="s">
        <v>105</v>
      </c>
    </row>
    <row r="119" spans="1:17" ht="12.75" customHeight="1" x14ac:dyDescent="0.3">
      <c r="A119" s="45" t="s">
        <v>82</v>
      </c>
      <c r="B119" s="149" t="s">
        <v>41</v>
      </c>
      <c r="C119" s="83" t="s">
        <v>79</v>
      </c>
      <c r="D119" s="83"/>
      <c r="E119" s="83" t="str">
        <f t="shared" si="9"/>
        <v xml:space="preserve">COMERCIALES Otros Finos &lt; 50 mm (si &gt; 2kg*, se hará una analitica en laboratorio) </v>
      </c>
      <c r="F119" s="83" t="s">
        <v>231</v>
      </c>
      <c r="G119" s="81">
        <v>1</v>
      </c>
      <c r="H119" s="81">
        <f t="shared" si="10"/>
        <v>118.2</v>
      </c>
      <c r="I119" s="81"/>
      <c r="J119" s="81"/>
      <c r="K119" s="81"/>
      <c r="L119" s="81"/>
      <c r="M119" s="81">
        <f t="shared" si="7"/>
        <v>117.2</v>
      </c>
      <c r="N119" s="82">
        <f t="shared" si="11"/>
        <v>7.6267326088371072E-3</v>
      </c>
      <c r="O119" s="81">
        <f t="shared" si="6"/>
        <v>1</v>
      </c>
      <c r="P119" s="112"/>
      <c r="Q119" s="92" t="s">
        <v>105</v>
      </c>
    </row>
    <row r="120" spans="1:17" ht="12.75" customHeight="1" x14ac:dyDescent="0.3">
      <c r="A120" s="45" t="s">
        <v>82</v>
      </c>
      <c r="B120" s="149" t="s">
        <v>41</v>
      </c>
      <c r="C120" s="83" t="s">
        <v>46</v>
      </c>
      <c r="D120" s="83"/>
      <c r="E120" s="83" t="str">
        <f t="shared" si="9"/>
        <v xml:space="preserve">COMERCIALES Otros Cantidad de Producto en Envases (Sólido) </v>
      </c>
      <c r="F120" s="83" t="s">
        <v>232</v>
      </c>
      <c r="G120" s="81">
        <v>1</v>
      </c>
      <c r="H120" s="81">
        <f t="shared" si="10"/>
        <v>119.2</v>
      </c>
      <c r="I120" s="81"/>
      <c r="J120" s="81"/>
      <c r="K120" s="81"/>
      <c r="L120" s="81"/>
      <c r="M120" s="81">
        <f t="shared" si="7"/>
        <v>118.2</v>
      </c>
      <c r="N120" s="82">
        <f t="shared" si="11"/>
        <v>7.6918071191514163E-3</v>
      </c>
      <c r="O120" s="81">
        <f t="shared" si="6"/>
        <v>1</v>
      </c>
      <c r="P120" s="112"/>
      <c r="Q120" s="92" t="s">
        <v>105</v>
      </c>
    </row>
    <row r="121" spans="1:17" ht="12.75" customHeight="1" x14ac:dyDescent="0.3">
      <c r="A121" s="45" t="s">
        <v>82</v>
      </c>
      <c r="B121" s="149" t="s">
        <v>41</v>
      </c>
      <c r="C121" s="83" t="s">
        <v>47</v>
      </c>
      <c r="D121" s="83"/>
      <c r="E121" s="83" t="str">
        <f t="shared" si="9"/>
        <v xml:space="preserve">COMERCIALES Otros Cantidad de Producto en Envases (líquido-no aceite) </v>
      </c>
      <c r="F121" s="83" t="s">
        <v>233</v>
      </c>
      <c r="G121" s="81">
        <v>1</v>
      </c>
      <c r="H121" s="81">
        <f t="shared" si="10"/>
        <v>120.2</v>
      </c>
      <c r="I121" s="81"/>
      <c r="J121" s="81"/>
      <c r="K121" s="81"/>
      <c r="L121" s="81"/>
      <c r="M121" s="81">
        <f t="shared" si="7"/>
        <v>119.2</v>
      </c>
      <c r="N121" s="82">
        <f t="shared" si="11"/>
        <v>7.7568816294657263E-3</v>
      </c>
      <c r="O121" s="81">
        <f t="shared" si="6"/>
        <v>1</v>
      </c>
      <c r="P121" s="112"/>
      <c r="Q121" s="92" t="s">
        <v>105</v>
      </c>
    </row>
    <row r="122" spans="1:17" x14ac:dyDescent="0.3">
      <c r="A122" s="45" t="s">
        <v>82</v>
      </c>
      <c r="B122" s="149" t="s">
        <v>41</v>
      </c>
      <c r="C122" s="80" t="s">
        <v>49</v>
      </c>
      <c r="D122" s="80"/>
      <c r="E122" s="80" t="str">
        <f t="shared" si="9"/>
        <v xml:space="preserve">COMERCIALES Otros Caucho </v>
      </c>
      <c r="F122" s="80" t="s">
        <v>234</v>
      </c>
      <c r="G122" s="81">
        <v>1</v>
      </c>
      <c r="H122" s="81">
        <f t="shared" si="10"/>
        <v>121.2</v>
      </c>
      <c r="I122" s="81"/>
      <c r="J122" s="81"/>
      <c r="K122" s="81"/>
      <c r="L122" s="81"/>
      <c r="M122" s="81">
        <f t="shared" si="7"/>
        <v>120.2</v>
      </c>
      <c r="N122" s="82">
        <f t="shared" si="11"/>
        <v>7.8219561397800362E-3</v>
      </c>
      <c r="O122" s="81">
        <f t="shared" si="6"/>
        <v>1</v>
      </c>
      <c r="P122" s="111"/>
      <c r="Q122" s="92" t="s">
        <v>105</v>
      </c>
    </row>
    <row r="123" spans="1:17" ht="12.75" customHeight="1" x14ac:dyDescent="0.3">
      <c r="A123" s="45" t="s">
        <v>82</v>
      </c>
      <c r="B123" s="149" t="s">
        <v>41</v>
      </c>
      <c r="C123" s="83" t="s">
        <v>80</v>
      </c>
      <c r="D123" s="83"/>
      <c r="E123" s="83" t="str">
        <f t="shared" si="9"/>
        <v xml:space="preserve">COMERCIALES Otros Otros otros  (cuerdas multimaterial…) </v>
      </c>
      <c r="F123" s="83" t="s">
        <v>235</v>
      </c>
      <c r="G123" s="81">
        <v>1</v>
      </c>
      <c r="H123" s="81">
        <f t="shared" si="10"/>
        <v>122.2</v>
      </c>
      <c r="I123" s="81"/>
      <c r="J123" s="81"/>
      <c r="K123" s="81"/>
      <c r="L123" s="81"/>
      <c r="M123" s="81">
        <f t="shared" si="7"/>
        <v>121.2</v>
      </c>
      <c r="N123" s="82">
        <f t="shared" si="11"/>
        <v>7.8870306500943461E-3</v>
      </c>
      <c r="O123" s="81">
        <f t="shared" si="6"/>
        <v>1</v>
      </c>
      <c r="P123" s="112"/>
      <c r="Q123" s="92" t="s">
        <v>105</v>
      </c>
    </row>
    <row r="124" spans="1:17" ht="27.6" x14ac:dyDescent="0.3">
      <c r="A124" s="42" t="s">
        <v>90</v>
      </c>
      <c r="B124" s="143" t="s">
        <v>14</v>
      </c>
      <c r="C124" s="41"/>
      <c r="D124" s="46" t="s">
        <v>15</v>
      </c>
      <c r="E124" s="46" t="str">
        <f t="shared" si="9"/>
        <v>INDUSTRIALES / AGRICOLAS Papel – cartón  Papel y Cartón envase (Con Pto. Verde)</v>
      </c>
      <c r="F124" s="46" t="s">
        <v>236</v>
      </c>
      <c r="G124" s="41">
        <v>1</v>
      </c>
      <c r="H124" s="41">
        <f t="shared" si="10"/>
        <v>123.2</v>
      </c>
      <c r="I124" s="41"/>
      <c r="J124" s="41"/>
      <c r="K124" s="41"/>
      <c r="L124" s="41"/>
      <c r="M124" s="41">
        <f>SUM(H124:L124)-(G124*O124)</f>
        <v>122.2</v>
      </c>
      <c r="N124" s="47">
        <f>M124/SUM($M$16:$M$177)</f>
        <v>7.9521051604086561E-3</v>
      </c>
      <c r="O124" s="41">
        <f>COUNT(H124:L124)</f>
        <v>1</v>
      </c>
      <c r="P124" s="98"/>
      <c r="Q124" s="129" t="s">
        <v>104</v>
      </c>
    </row>
    <row r="125" spans="1:17" ht="27.6" x14ac:dyDescent="0.3">
      <c r="A125" s="42" t="s">
        <v>90</v>
      </c>
      <c r="B125" s="143" t="s">
        <v>14</v>
      </c>
      <c r="C125" s="41"/>
      <c r="D125" s="46" t="s">
        <v>16</v>
      </c>
      <c r="E125" s="46" t="str">
        <f t="shared" si="9"/>
        <v>INDUSTRIALES / AGRICOLAS Papel – cartón  Papel y Cartón envase (Sin Pto. Verde)</v>
      </c>
      <c r="F125" s="46" t="s">
        <v>237</v>
      </c>
      <c r="G125" s="41">
        <v>1</v>
      </c>
      <c r="H125" s="41">
        <f t="shared" si="10"/>
        <v>124.2</v>
      </c>
      <c r="I125" s="41"/>
      <c r="J125" s="41"/>
      <c r="K125" s="41"/>
      <c r="L125" s="41"/>
      <c r="M125" s="41">
        <f>SUM(H125:L125)-(G125*O125)</f>
        <v>123.2</v>
      </c>
      <c r="N125" s="47">
        <f>M125/SUM($M$16:$M$177)</f>
        <v>8.017179670722966E-3</v>
      </c>
      <c r="O125" s="41">
        <f t="shared" ref="O125:O177" si="12">COUNT(H125:L125)</f>
        <v>1</v>
      </c>
      <c r="P125" s="98"/>
      <c r="Q125" s="129" t="s">
        <v>104</v>
      </c>
    </row>
    <row r="126" spans="1:17" ht="27.6" x14ac:dyDescent="0.3">
      <c r="A126" s="42" t="s">
        <v>90</v>
      </c>
      <c r="B126" s="143" t="s">
        <v>14</v>
      </c>
      <c r="C126" s="41"/>
      <c r="D126" s="46" t="s">
        <v>17</v>
      </c>
      <c r="E126" s="46" t="str">
        <f t="shared" si="9"/>
        <v>INDUSTRIALES / AGRICOLAS Papel – cartón  Papel/Cartón No Envase</v>
      </c>
      <c r="F126" s="46" t="s">
        <v>238</v>
      </c>
      <c r="G126" s="41">
        <v>1</v>
      </c>
      <c r="H126" s="41">
        <f t="shared" si="10"/>
        <v>125.2</v>
      </c>
      <c r="I126" s="41"/>
      <c r="J126" s="41"/>
      <c r="K126" s="41"/>
      <c r="L126" s="41"/>
      <c r="M126" s="41">
        <f t="shared" ref="M126:M177" si="13">SUM(H126:L126)-(G126*O126)</f>
        <v>124.2</v>
      </c>
      <c r="N126" s="47">
        <f t="shared" ref="N126:N177" si="14">M126/SUM($M$16:$M$177)</f>
        <v>8.082254181037276E-3</v>
      </c>
      <c r="O126" s="41">
        <f t="shared" si="12"/>
        <v>1</v>
      </c>
      <c r="P126" s="98"/>
      <c r="Q126" s="129" t="s">
        <v>104</v>
      </c>
    </row>
    <row r="127" spans="1:17" x14ac:dyDescent="0.3">
      <c r="A127" s="42" t="s">
        <v>90</v>
      </c>
      <c r="B127" s="144" t="s">
        <v>18</v>
      </c>
      <c r="C127" s="48"/>
      <c r="D127" s="49" t="s">
        <v>19</v>
      </c>
      <c r="E127" s="49" t="str">
        <f t="shared" si="9"/>
        <v>INDUSTRIALES / AGRICOLAS Brik  Envase</v>
      </c>
      <c r="F127" s="49" t="s">
        <v>239</v>
      </c>
      <c r="G127" s="48">
        <v>1</v>
      </c>
      <c r="H127" s="48">
        <f t="shared" si="10"/>
        <v>126.2</v>
      </c>
      <c r="I127" s="48"/>
      <c r="J127" s="48"/>
      <c r="K127" s="48"/>
      <c r="L127" s="48"/>
      <c r="M127" s="48">
        <f t="shared" si="13"/>
        <v>125.2</v>
      </c>
      <c r="N127" s="50">
        <f t="shared" si="14"/>
        <v>8.1473286913515859E-3</v>
      </c>
      <c r="O127" s="48">
        <f t="shared" si="12"/>
        <v>1</v>
      </c>
      <c r="P127" s="99"/>
      <c r="Q127" s="129" t="s">
        <v>104</v>
      </c>
    </row>
    <row r="128" spans="1:17" x14ac:dyDescent="0.3">
      <c r="A128" s="42" t="s">
        <v>90</v>
      </c>
      <c r="B128" s="145" t="s">
        <v>51</v>
      </c>
      <c r="C128" s="44"/>
      <c r="D128" s="51" t="s">
        <v>19</v>
      </c>
      <c r="E128" s="51" t="str">
        <f t="shared" si="9"/>
        <v>INDUSTRIALES / AGRICOLAS Vidrio   Envase</v>
      </c>
      <c r="F128" s="51" t="s">
        <v>240</v>
      </c>
      <c r="G128" s="44">
        <v>1</v>
      </c>
      <c r="H128" s="44">
        <f t="shared" si="10"/>
        <v>127.2</v>
      </c>
      <c r="I128" s="44"/>
      <c r="J128" s="44"/>
      <c r="K128" s="44"/>
      <c r="L128" s="44"/>
      <c r="M128" s="44">
        <f t="shared" si="13"/>
        <v>126.2</v>
      </c>
      <c r="N128" s="52">
        <f t="shared" si="14"/>
        <v>8.2124032016658959E-3</v>
      </c>
      <c r="O128" s="44">
        <f t="shared" si="12"/>
        <v>1</v>
      </c>
      <c r="P128" s="100"/>
      <c r="Q128" s="129" t="s">
        <v>104</v>
      </c>
    </row>
    <row r="129" spans="1:17" x14ac:dyDescent="0.3">
      <c r="A129" s="42" t="s">
        <v>90</v>
      </c>
      <c r="B129" s="145" t="s">
        <v>51</v>
      </c>
      <c r="C129" s="44"/>
      <c r="D129" s="51" t="s">
        <v>20</v>
      </c>
      <c r="E129" s="51" t="str">
        <f t="shared" si="9"/>
        <v>INDUSTRIALES / AGRICOLAS Vidrio   No envase</v>
      </c>
      <c r="F129" s="51" t="s">
        <v>241</v>
      </c>
      <c r="G129" s="44">
        <v>1</v>
      </c>
      <c r="H129" s="44">
        <f t="shared" si="10"/>
        <v>128.19999999999999</v>
      </c>
      <c r="I129" s="44"/>
      <c r="J129" s="44"/>
      <c r="K129" s="44"/>
      <c r="L129" s="44"/>
      <c r="M129" s="44">
        <f t="shared" si="13"/>
        <v>127.19999999999999</v>
      </c>
      <c r="N129" s="52">
        <f t="shared" si="14"/>
        <v>8.2774777119802041E-3</v>
      </c>
      <c r="O129" s="44">
        <f t="shared" si="12"/>
        <v>1</v>
      </c>
      <c r="P129" s="100"/>
      <c r="Q129" s="129" t="s">
        <v>104</v>
      </c>
    </row>
    <row r="130" spans="1:17" x14ac:dyDescent="0.3">
      <c r="A130" s="42" t="s">
        <v>90</v>
      </c>
      <c r="B130" s="146" t="s">
        <v>21</v>
      </c>
      <c r="C130" s="42" t="s">
        <v>22</v>
      </c>
      <c r="D130" s="55" t="s">
        <v>19</v>
      </c>
      <c r="E130" s="55" t="str">
        <f t="shared" si="9"/>
        <v>INDUSTRIALES / AGRICOLAS Metales férricos Acero Envase</v>
      </c>
      <c r="F130" s="55" t="s">
        <v>242</v>
      </c>
      <c r="G130" s="42">
        <v>1</v>
      </c>
      <c r="H130" s="42">
        <f t="shared" si="10"/>
        <v>129.19999999999999</v>
      </c>
      <c r="I130" s="42"/>
      <c r="J130" s="42"/>
      <c r="K130" s="42"/>
      <c r="L130" s="42"/>
      <c r="M130" s="42">
        <f t="shared" si="13"/>
        <v>128.19999999999999</v>
      </c>
      <c r="N130" s="56">
        <f t="shared" si="14"/>
        <v>8.342552222294514E-3</v>
      </c>
      <c r="O130" s="42">
        <f t="shared" si="12"/>
        <v>1</v>
      </c>
      <c r="P130" s="101"/>
      <c r="Q130" s="129" t="s">
        <v>104</v>
      </c>
    </row>
    <row r="131" spans="1:17" ht="27.6" x14ac:dyDescent="0.3">
      <c r="A131" s="42" t="s">
        <v>90</v>
      </c>
      <c r="B131" s="146" t="s">
        <v>21</v>
      </c>
      <c r="C131" s="42" t="s">
        <v>22</v>
      </c>
      <c r="D131" s="55" t="s">
        <v>20</v>
      </c>
      <c r="E131" s="55" t="str">
        <f t="shared" si="9"/>
        <v>INDUSTRIALES / AGRICOLAS Metales férricos Acero No envase</v>
      </c>
      <c r="F131" s="55" t="s">
        <v>243</v>
      </c>
      <c r="G131" s="42">
        <v>1</v>
      </c>
      <c r="H131" s="42">
        <f t="shared" si="10"/>
        <v>130.19999999999999</v>
      </c>
      <c r="I131" s="42"/>
      <c r="J131" s="42"/>
      <c r="K131" s="42"/>
      <c r="L131" s="42"/>
      <c r="M131" s="42">
        <f t="shared" si="13"/>
        <v>129.19999999999999</v>
      </c>
      <c r="N131" s="56">
        <f t="shared" si="14"/>
        <v>8.4076267326088239E-3</v>
      </c>
      <c r="O131" s="42">
        <f t="shared" si="12"/>
        <v>1</v>
      </c>
      <c r="P131" s="101"/>
      <c r="Q131" s="92" t="s">
        <v>105</v>
      </c>
    </row>
    <row r="132" spans="1:17" ht="27.6" x14ac:dyDescent="0.3">
      <c r="A132" s="42" t="s">
        <v>90</v>
      </c>
      <c r="B132" s="146" t="s">
        <v>23</v>
      </c>
      <c r="C132" s="42" t="s">
        <v>24</v>
      </c>
      <c r="D132" s="55" t="s">
        <v>19</v>
      </c>
      <c r="E132" s="55" t="str">
        <f t="shared" si="9"/>
        <v>INDUSTRIALES / AGRICOLAS Metales no férricos Aluminio Envase</v>
      </c>
      <c r="F132" s="55" t="s">
        <v>244</v>
      </c>
      <c r="G132" s="42">
        <v>1</v>
      </c>
      <c r="H132" s="42">
        <f t="shared" si="10"/>
        <v>131.19999999999999</v>
      </c>
      <c r="I132" s="42"/>
      <c r="J132" s="42"/>
      <c r="K132" s="42"/>
      <c r="L132" s="42"/>
      <c r="M132" s="42">
        <f t="shared" si="13"/>
        <v>130.19999999999999</v>
      </c>
      <c r="N132" s="56">
        <f t="shared" si="14"/>
        <v>8.4727012429231339E-3</v>
      </c>
      <c r="O132" s="42">
        <f t="shared" si="12"/>
        <v>1</v>
      </c>
      <c r="P132" s="101"/>
      <c r="Q132" s="129" t="s">
        <v>104</v>
      </c>
    </row>
    <row r="133" spans="1:17" ht="27.6" x14ac:dyDescent="0.3">
      <c r="A133" s="42" t="s">
        <v>90</v>
      </c>
      <c r="B133" s="146" t="s">
        <v>23</v>
      </c>
      <c r="C133" s="42" t="s">
        <v>24</v>
      </c>
      <c r="D133" s="55" t="s">
        <v>20</v>
      </c>
      <c r="E133" s="55" t="str">
        <f t="shared" si="9"/>
        <v>INDUSTRIALES / AGRICOLAS Metales no férricos Aluminio No envase</v>
      </c>
      <c r="F133" s="55" t="s">
        <v>245</v>
      </c>
      <c r="G133" s="42">
        <v>1</v>
      </c>
      <c r="H133" s="42">
        <f t="shared" si="10"/>
        <v>132.19999999999999</v>
      </c>
      <c r="I133" s="42"/>
      <c r="J133" s="42"/>
      <c r="K133" s="42"/>
      <c r="L133" s="42"/>
      <c r="M133" s="42">
        <f t="shared" si="13"/>
        <v>131.19999999999999</v>
      </c>
      <c r="N133" s="56">
        <f t="shared" si="14"/>
        <v>8.5377757532374438E-3</v>
      </c>
      <c r="O133" s="42">
        <f t="shared" si="12"/>
        <v>1</v>
      </c>
      <c r="P133" s="101"/>
      <c r="Q133" s="92" t="s">
        <v>105</v>
      </c>
    </row>
    <row r="134" spans="1:17" x14ac:dyDescent="0.3">
      <c r="A134" s="42" t="s">
        <v>90</v>
      </c>
      <c r="B134" s="147" t="s">
        <v>25</v>
      </c>
      <c r="C134" s="57"/>
      <c r="D134" s="58" t="s">
        <v>19</v>
      </c>
      <c r="E134" s="58" t="str">
        <f t="shared" si="9"/>
        <v>INDUSTRIALES / AGRICOLAS Madera  Envase</v>
      </c>
      <c r="F134" s="58" t="s">
        <v>246</v>
      </c>
      <c r="G134" s="57">
        <v>1</v>
      </c>
      <c r="H134" s="57">
        <f t="shared" si="10"/>
        <v>133.19999999999999</v>
      </c>
      <c r="I134" s="57"/>
      <c r="J134" s="57"/>
      <c r="K134" s="57"/>
      <c r="L134" s="57"/>
      <c r="M134" s="57">
        <f t="shared" si="13"/>
        <v>132.19999999999999</v>
      </c>
      <c r="N134" s="59">
        <f t="shared" si="14"/>
        <v>8.602850263551752E-3</v>
      </c>
      <c r="O134" s="57">
        <f t="shared" si="12"/>
        <v>1</v>
      </c>
      <c r="P134" s="102"/>
      <c r="Q134" s="129" t="s">
        <v>104</v>
      </c>
    </row>
    <row r="135" spans="1:17" x14ac:dyDescent="0.3">
      <c r="A135" s="42" t="s">
        <v>90</v>
      </c>
      <c r="B135" s="147" t="s">
        <v>25</v>
      </c>
      <c r="C135" s="57"/>
      <c r="D135" s="58" t="s">
        <v>20</v>
      </c>
      <c r="E135" s="58" t="str">
        <f t="shared" si="9"/>
        <v>INDUSTRIALES / AGRICOLAS Madera  No envase</v>
      </c>
      <c r="F135" s="58" t="s">
        <v>247</v>
      </c>
      <c r="G135" s="57">
        <v>1</v>
      </c>
      <c r="H135" s="57">
        <f t="shared" si="10"/>
        <v>134.19999999999999</v>
      </c>
      <c r="I135" s="57"/>
      <c r="J135" s="57"/>
      <c r="K135" s="57"/>
      <c r="L135" s="57"/>
      <c r="M135" s="57">
        <f t="shared" si="13"/>
        <v>133.19999999999999</v>
      </c>
      <c r="N135" s="59">
        <f t="shared" si="14"/>
        <v>8.667924773866062E-3</v>
      </c>
      <c r="O135" s="57">
        <f t="shared" si="12"/>
        <v>1</v>
      </c>
      <c r="P135" s="102"/>
      <c r="Q135" s="92" t="s">
        <v>105</v>
      </c>
    </row>
    <row r="136" spans="1:17" ht="27.6" x14ac:dyDescent="0.3">
      <c r="A136" s="42" t="s">
        <v>90</v>
      </c>
      <c r="B136" s="144" t="s">
        <v>89</v>
      </c>
      <c r="C136" s="49" t="s">
        <v>27</v>
      </c>
      <c r="D136" s="49" t="s">
        <v>19</v>
      </c>
      <c r="E136" s="49" t="str">
        <f t="shared" si="9"/>
        <v>INDUSTRIALES / AGRICOLAS Plásticos (excepto SUP*) PET  Envase</v>
      </c>
      <c r="F136" s="49" t="s">
        <v>248</v>
      </c>
      <c r="G136" s="48">
        <v>1</v>
      </c>
      <c r="H136" s="48">
        <f t="shared" si="10"/>
        <v>135.19999999999999</v>
      </c>
      <c r="I136" s="48"/>
      <c r="J136" s="48"/>
      <c r="K136" s="48"/>
      <c r="L136" s="48"/>
      <c r="M136" s="48">
        <f t="shared" si="13"/>
        <v>134.19999999999999</v>
      </c>
      <c r="N136" s="50">
        <f t="shared" si="14"/>
        <v>8.7329992841803719E-3</v>
      </c>
      <c r="O136" s="48">
        <f t="shared" si="12"/>
        <v>1</v>
      </c>
      <c r="P136" s="99"/>
      <c r="Q136" s="129" t="s">
        <v>104</v>
      </c>
    </row>
    <row r="137" spans="1:17" ht="27.6" x14ac:dyDescent="0.3">
      <c r="A137" s="42" t="s">
        <v>90</v>
      </c>
      <c r="B137" s="144" t="s">
        <v>89</v>
      </c>
      <c r="C137" s="49" t="s">
        <v>27</v>
      </c>
      <c r="D137" s="49" t="s">
        <v>20</v>
      </c>
      <c r="E137" s="49" t="str">
        <f t="shared" si="9"/>
        <v>INDUSTRIALES / AGRICOLAS Plásticos (excepto SUP*) PET  No envase</v>
      </c>
      <c r="F137" s="49" t="s">
        <v>249</v>
      </c>
      <c r="G137" s="48">
        <v>1</v>
      </c>
      <c r="H137" s="48">
        <f t="shared" si="10"/>
        <v>136.19999999999999</v>
      </c>
      <c r="I137" s="48"/>
      <c r="J137" s="48"/>
      <c r="K137" s="48"/>
      <c r="L137" s="48"/>
      <c r="M137" s="48">
        <f t="shared" si="13"/>
        <v>135.19999999999999</v>
      </c>
      <c r="N137" s="50">
        <f t="shared" si="14"/>
        <v>8.7980737944946819E-3</v>
      </c>
      <c r="O137" s="48">
        <f t="shared" si="12"/>
        <v>1</v>
      </c>
      <c r="P137" s="99"/>
      <c r="Q137" s="92" t="s">
        <v>105</v>
      </c>
    </row>
    <row r="138" spans="1:17" ht="27.6" x14ac:dyDescent="0.3">
      <c r="A138" s="42" t="s">
        <v>90</v>
      </c>
      <c r="B138" s="144" t="s">
        <v>89</v>
      </c>
      <c r="C138" s="49" t="s">
        <v>59</v>
      </c>
      <c r="D138" s="49" t="s">
        <v>19</v>
      </c>
      <c r="E138" s="49" t="str">
        <f t="shared" si="9"/>
        <v>INDUSTRIALES / AGRICOLAS Plásticos (excepto SUP*) PEAD Envase</v>
      </c>
      <c r="F138" s="49" t="s">
        <v>250</v>
      </c>
      <c r="G138" s="48">
        <v>1</v>
      </c>
      <c r="H138" s="48">
        <f t="shared" si="10"/>
        <v>137.19999999999999</v>
      </c>
      <c r="I138" s="48"/>
      <c r="J138" s="48"/>
      <c r="K138" s="48"/>
      <c r="L138" s="48"/>
      <c r="M138" s="48">
        <f t="shared" si="13"/>
        <v>136.19999999999999</v>
      </c>
      <c r="N138" s="50">
        <f t="shared" si="14"/>
        <v>8.8631483048089918E-3</v>
      </c>
      <c r="O138" s="48">
        <f t="shared" si="12"/>
        <v>1</v>
      </c>
      <c r="P138" s="99"/>
      <c r="Q138" s="129" t="s">
        <v>104</v>
      </c>
    </row>
    <row r="139" spans="1:17" ht="27.6" x14ac:dyDescent="0.3">
      <c r="A139" s="42" t="s">
        <v>90</v>
      </c>
      <c r="B139" s="144" t="s">
        <v>89</v>
      </c>
      <c r="C139" s="49" t="s">
        <v>59</v>
      </c>
      <c r="D139" s="49" t="s">
        <v>20</v>
      </c>
      <c r="E139" s="49" t="str">
        <f t="shared" si="9"/>
        <v>INDUSTRIALES / AGRICOLAS Plásticos (excepto SUP*) PEAD No envase</v>
      </c>
      <c r="F139" s="49" t="s">
        <v>251</v>
      </c>
      <c r="G139" s="48">
        <v>1</v>
      </c>
      <c r="H139" s="48">
        <f t="shared" si="10"/>
        <v>138.19999999999999</v>
      </c>
      <c r="I139" s="48"/>
      <c r="J139" s="48"/>
      <c r="K139" s="48"/>
      <c r="L139" s="48"/>
      <c r="M139" s="48">
        <f t="shared" si="13"/>
        <v>137.19999999999999</v>
      </c>
      <c r="N139" s="50">
        <f t="shared" si="14"/>
        <v>8.9282228151233017E-3</v>
      </c>
      <c r="O139" s="48">
        <f t="shared" si="12"/>
        <v>1</v>
      </c>
      <c r="P139" s="99"/>
      <c r="Q139" s="92" t="s">
        <v>105</v>
      </c>
    </row>
    <row r="140" spans="1:17" ht="27.6" x14ac:dyDescent="0.3">
      <c r="A140" s="42" t="s">
        <v>90</v>
      </c>
      <c r="B140" s="144" t="s">
        <v>89</v>
      </c>
      <c r="C140" s="49" t="s">
        <v>60</v>
      </c>
      <c r="D140" s="49" t="s">
        <v>19</v>
      </c>
      <c r="E140" s="49" t="str">
        <f t="shared" si="9"/>
        <v>INDUSTRIALES / AGRICOLAS Plásticos (excepto SUP*) PEBD Envase</v>
      </c>
      <c r="F140" s="49" t="s">
        <v>252</v>
      </c>
      <c r="G140" s="48">
        <v>1</v>
      </c>
      <c r="H140" s="48">
        <f t="shared" si="10"/>
        <v>139.19999999999999</v>
      </c>
      <c r="I140" s="48"/>
      <c r="J140" s="48"/>
      <c r="K140" s="48"/>
      <c r="L140" s="48"/>
      <c r="M140" s="48">
        <f t="shared" si="13"/>
        <v>138.19999999999999</v>
      </c>
      <c r="N140" s="50">
        <f t="shared" si="14"/>
        <v>8.9932973254376117E-3</v>
      </c>
      <c r="O140" s="48">
        <f t="shared" si="12"/>
        <v>1</v>
      </c>
      <c r="P140" s="99"/>
      <c r="Q140" s="129" t="s">
        <v>104</v>
      </c>
    </row>
    <row r="141" spans="1:17" ht="27.6" x14ac:dyDescent="0.3">
      <c r="A141" s="42" t="s">
        <v>90</v>
      </c>
      <c r="B141" s="144" t="s">
        <v>89</v>
      </c>
      <c r="C141" s="49" t="s">
        <v>60</v>
      </c>
      <c r="D141" s="49" t="s">
        <v>20</v>
      </c>
      <c r="E141" s="49" t="str">
        <f t="shared" si="9"/>
        <v>INDUSTRIALES / AGRICOLAS Plásticos (excepto SUP*) PEBD No envase</v>
      </c>
      <c r="F141" s="49" t="s">
        <v>253</v>
      </c>
      <c r="G141" s="48">
        <v>1</v>
      </c>
      <c r="H141" s="48">
        <f t="shared" si="10"/>
        <v>140.19999999999999</v>
      </c>
      <c r="I141" s="48"/>
      <c r="J141" s="48"/>
      <c r="K141" s="48"/>
      <c r="L141" s="48"/>
      <c r="M141" s="48">
        <f t="shared" si="13"/>
        <v>139.19999999999999</v>
      </c>
      <c r="N141" s="50">
        <f t="shared" si="14"/>
        <v>9.0583718357519216E-3</v>
      </c>
      <c r="O141" s="48">
        <f t="shared" si="12"/>
        <v>1</v>
      </c>
      <c r="P141" s="99"/>
      <c r="Q141" s="92" t="s">
        <v>105</v>
      </c>
    </row>
    <row r="142" spans="1:17" ht="27.6" x14ac:dyDescent="0.3">
      <c r="A142" s="42" t="s">
        <v>90</v>
      </c>
      <c r="B142" s="144" t="s">
        <v>89</v>
      </c>
      <c r="C142" s="49" t="s">
        <v>29</v>
      </c>
      <c r="D142" s="49" t="s">
        <v>19</v>
      </c>
      <c r="E142" s="49" t="str">
        <f t="shared" si="9"/>
        <v>INDUSTRIALES / AGRICOLAS Plásticos (excepto SUP*) PVC Envase</v>
      </c>
      <c r="F142" s="49" t="s">
        <v>254</v>
      </c>
      <c r="G142" s="48">
        <v>1</v>
      </c>
      <c r="H142" s="48">
        <f t="shared" si="10"/>
        <v>141.19999999999999</v>
      </c>
      <c r="I142" s="48"/>
      <c r="J142" s="48"/>
      <c r="K142" s="48"/>
      <c r="L142" s="48"/>
      <c r="M142" s="48">
        <f t="shared" si="13"/>
        <v>140.19999999999999</v>
      </c>
      <c r="N142" s="50">
        <f t="shared" si="14"/>
        <v>9.1234463460662316E-3</v>
      </c>
      <c r="O142" s="48">
        <f t="shared" si="12"/>
        <v>1</v>
      </c>
      <c r="P142" s="99"/>
      <c r="Q142" s="129" t="s">
        <v>104</v>
      </c>
    </row>
    <row r="143" spans="1:17" ht="27.6" x14ac:dyDescent="0.3">
      <c r="A143" s="42" t="s">
        <v>90</v>
      </c>
      <c r="B143" s="144" t="s">
        <v>89</v>
      </c>
      <c r="C143" s="49" t="s">
        <v>29</v>
      </c>
      <c r="D143" s="49" t="s">
        <v>20</v>
      </c>
      <c r="E143" s="49" t="str">
        <f t="shared" si="9"/>
        <v>INDUSTRIALES / AGRICOLAS Plásticos (excepto SUP*) PVC No envase</v>
      </c>
      <c r="F143" s="49" t="s">
        <v>255</v>
      </c>
      <c r="G143" s="48">
        <v>1</v>
      </c>
      <c r="H143" s="48">
        <f t="shared" si="10"/>
        <v>142.19999999999999</v>
      </c>
      <c r="I143" s="48"/>
      <c r="J143" s="48"/>
      <c r="K143" s="48"/>
      <c r="L143" s="48"/>
      <c r="M143" s="48">
        <f t="shared" si="13"/>
        <v>141.19999999999999</v>
      </c>
      <c r="N143" s="50">
        <f t="shared" si="14"/>
        <v>9.1885208563805415E-3</v>
      </c>
      <c r="O143" s="48">
        <f t="shared" si="12"/>
        <v>1</v>
      </c>
      <c r="P143" s="99"/>
      <c r="Q143" s="92" t="s">
        <v>105</v>
      </c>
    </row>
    <row r="144" spans="1:17" ht="27.6" x14ac:dyDescent="0.3">
      <c r="A144" s="42" t="s">
        <v>90</v>
      </c>
      <c r="B144" s="144" t="s">
        <v>89</v>
      </c>
      <c r="C144" s="49" t="s">
        <v>30</v>
      </c>
      <c r="D144" s="49" t="s">
        <v>19</v>
      </c>
      <c r="E144" s="49" t="str">
        <f t="shared" si="9"/>
        <v>INDUSTRIALES / AGRICOLAS Plásticos (excepto SUP*) PP Envase</v>
      </c>
      <c r="F144" s="49" t="s">
        <v>256</v>
      </c>
      <c r="G144" s="48">
        <v>1</v>
      </c>
      <c r="H144" s="48">
        <f t="shared" si="10"/>
        <v>143.19999999999999</v>
      </c>
      <c r="I144" s="48"/>
      <c r="J144" s="48"/>
      <c r="K144" s="48"/>
      <c r="L144" s="48"/>
      <c r="M144" s="48">
        <f t="shared" si="13"/>
        <v>142.19999999999999</v>
      </c>
      <c r="N144" s="50">
        <f t="shared" si="14"/>
        <v>9.2535953666948514E-3</v>
      </c>
      <c r="O144" s="48">
        <f t="shared" si="12"/>
        <v>1</v>
      </c>
      <c r="P144" s="99"/>
      <c r="Q144" s="129" t="s">
        <v>104</v>
      </c>
    </row>
    <row r="145" spans="1:17" ht="27.6" x14ac:dyDescent="0.3">
      <c r="A145" s="42" t="s">
        <v>90</v>
      </c>
      <c r="B145" s="144" t="s">
        <v>89</v>
      </c>
      <c r="C145" s="49" t="s">
        <v>30</v>
      </c>
      <c r="D145" s="49" t="s">
        <v>20</v>
      </c>
      <c r="E145" s="49" t="str">
        <f t="shared" ref="E145:E177" si="15">A145&amp;" "&amp;B145&amp;" "&amp;C145&amp;" "&amp;D145</f>
        <v>INDUSTRIALES / AGRICOLAS Plásticos (excepto SUP*) PP No envase</v>
      </c>
      <c r="F145" s="49" t="s">
        <v>257</v>
      </c>
      <c r="G145" s="48">
        <v>1</v>
      </c>
      <c r="H145" s="48">
        <f t="shared" si="10"/>
        <v>144.19999999999999</v>
      </c>
      <c r="I145" s="48"/>
      <c r="J145" s="48"/>
      <c r="K145" s="48"/>
      <c r="L145" s="48"/>
      <c r="M145" s="48">
        <f t="shared" si="13"/>
        <v>143.19999999999999</v>
      </c>
      <c r="N145" s="50">
        <f t="shared" si="14"/>
        <v>9.3186698770091596E-3</v>
      </c>
      <c r="O145" s="48">
        <f t="shared" si="12"/>
        <v>1</v>
      </c>
      <c r="P145" s="99"/>
      <c r="Q145" s="92" t="s">
        <v>105</v>
      </c>
    </row>
    <row r="146" spans="1:17" ht="27.6" x14ac:dyDescent="0.3">
      <c r="A146" s="42" t="s">
        <v>90</v>
      </c>
      <c r="B146" s="144" t="s">
        <v>89</v>
      </c>
      <c r="C146" s="49" t="s">
        <v>31</v>
      </c>
      <c r="D146" s="49" t="s">
        <v>19</v>
      </c>
      <c r="E146" s="49" t="str">
        <f t="shared" si="15"/>
        <v>INDUSTRIALES / AGRICOLAS Plásticos (excepto SUP*) PS (excepto EPS) Envase</v>
      </c>
      <c r="F146" s="49" t="s">
        <v>258</v>
      </c>
      <c r="G146" s="48">
        <v>1</v>
      </c>
      <c r="H146" s="48">
        <f t="shared" ref="H146:H177" si="16">H145+1</f>
        <v>145.19999999999999</v>
      </c>
      <c r="I146" s="48"/>
      <c r="J146" s="48"/>
      <c r="K146" s="48"/>
      <c r="L146" s="48"/>
      <c r="M146" s="48">
        <f t="shared" si="13"/>
        <v>144.19999999999999</v>
      </c>
      <c r="N146" s="50">
        <f t="shared" si="14"/>
        <v>9.3837443873234696E-3</v>
      </c>
      <c r="O146" s="48">
        <f t="shared" si="12"/>
        <v>1</v>
      </c>
      <c r="P146" s="99"/>
      <c r="Q146" s="129" t="s">
        <v>104</v>
      </c>
    </row>
    <row r="147" spans="1:17" ht="27.6" x14ac:dyDescent="0.3">
      <c r="A147" s="42" t="s">
        <v>90</v>
      </c>
      <c r="B147" s="144" t="s">
        <v>89</v>
      </c>
      <c r="C147" s="49" t="s">
        <v>31</v>
      </c>
      <c r="D147" s="49" t="s">
        <v>20</v>
      </c>
      <c r="E147" s="49" t="str">
        <f t="shared" si="15"/>
        <v>INDUSTRIALES / AGRICOLAS Plásticos (excepto SUP*) PS (excepto EPS) No envase</v>
      </c>
      <c r="F147" s="49" t="s">
        <v>259</v>
      </c>
      <c r="G147" s="48">
        <v>1</v>
      </c>
      <c r="H147" s="60">
        <f t="shared" si="16"/>
        <v>146.19999999999999</v>
      </c>
      <c r="I147" s="60"/>
      <c r="J147" s="60"/>
      <c r="K147" s="60"/>
      <c r="L147" s="60"/>
      <c r="M147" s="48">
        <f t="shared" si="13"/>
        <v>145.19999999999999</v>
      </c>
      <c r="N147" s="50">
        <f t="shared" si="14"/>
        <v>9.4488188976377795E-3</v>
      </c>
      <c r="O147" s="48">
        <f t="shared" si="12"/>
        <v>1</v>
      </c>
      <c r="P147" s="99"/>
      <c r="Q147" s="92" t="s">
        <v>105</v>
      </c>
    </row>
    <row r="148" spans="1:17" ht="27.6" x14ac:dyDescent="0.3">
      <c r="A148" s="42" t="s">
        <v>90</v>
      </c>
      <c r="B148" s="144" t="s">
        <v>89</v>
      </c>
      <c r="C148" s="49" t="s">
        <v>32</v>
      </c>
      <c r="D148" s="49" t="s">
        <v>19</v>
      </c>
      <c r="E148" s="49" t="str">
        <f t="shared" si="15"/>
        <v>INDUSTRIALES / AGRICOLAS Plásticos (excepto SUP*) EPS Envase</v>
      </c>
      <c r="F148" s="49" t="s">
        <v>260</v>
      </c>
      <c r="G148" s="48">
        <v>1</v>
      </c>
      <c r="H148" s="60">
        <f t="shared" si="16"/>
        <v>147.19999999999999</v>
      </c>
      <c r="I148" s="60"/>
      <c r="J148" s="60"/>
      <c r="K148" s="60"/>
      <c r="L148" s="60"/>
      <c r="M148" s="48">
        <f t="shared" si="13"/>
        <v>146.19999999999999</v>
      </c>
      <c r="N148" s="50">
        <f t="shared" si="14"/>
        <v>9.5138934079520895E-3</v>
      </c>
      <c r="O148" s="48">
        <f t="shared" si="12"/>
        <v>1</v>
      </c>
      <c r="P148" s="99"/>
      <c r="Q148" s="129" t="s">
        <v>104</v>
      </c>
    </row>
    <row r="149" spans="1:17" ht="27.6" x14ac:dyDescent="0.3">
      <c r="A149" s="42" t="s">
        <v>90</v>
      </c>
      <c r="B149" s="144" t="s">
        <v>89</v>
      </c>
      <c r="C149" s="49" t="s">
        <v>32</v>
      </c>
      <c r="D149" s="49" t="s">
        <v>20</v>
      </c>
      <c r="E149" s="49" t="str">
        <f t="shared" si="15"/>
        <v>INDUSTRIALES / AGRICOLAS Plásticos (excepto SUP*) EPS No envase</v>
      </c>
      <c r="F149" s="49" t="s">
        <v>261</v>
      </c>
      <c r="G149" s="48">
        <v>1</v>
      </c>
      <c r="H149" s="60">
        <f t="shared" si="16"/>
        <v>148.19999999999999</v>
      </c>
      <c r="I149" s="60"/>
      <c r="J149" s="60"/>
      <c r="K149" s="60"/>
      <c r="L149" s="60"/>
      <c r="M149" s="48">
        <f t="shared" si="13"/>
        <v>147.19999999999999</v>
      </c>
      <c r="N149" s="50">
        <f t="shared" si="14"/>
        <v>9.5789679182663994E-3</v>
      </c>
      <c r="O149" s="48">
        <f t="shared" si="12"/>
        <v>1</v>
      </c>
      <c r="P149" s="99"/>
      <c r="Q149" s="92" t="s">
        <v>105</v>
      </c>
    </row>
    <row r="150" spans="1:17" ht="27.6" x14ac:dyDescent="0.3">
      <c r="A150" s="42" t="s">
        <v>90</v>
      </c>
      <c r="B150" s="144" t="s">
        <v>89</v>
      </c>
      <c r="C150" s="49" t="s">
        <v>33</v>
      </c>
      <c r="D150" s="49" t="s">
        <v>19</v>
      </c>
      <c r="E150" s="49" t="str">
        <f t="shared" si="15"/>
        <v>INDUSTRIALES / AGRICOLAS Plásticos (excepto SUP*) Otros Plásticos Envase</v>
      </c>
      <c r="F150" s="49" t="s">
        <v>262</v>
      </c>
      <c r="G150" s="48">
        <v>1</v>
      </c>
      <c r="H150" s="60">
        <f t="shared" si="16"/>
        <v>149.19999999999999</v>
      </c>
      <c r="I150" s="60"/>
      <c r="J150" s="60"/>
      <c r="K150" s="60"/>
      <c r="L150" s="60"/>
      <c r="M150" s="48">
        <f t="shared" si="13"/>
        <v>148.19999999999999</v>
      </c>
      <c r="N150" s="50">
        <f t="shared" si="14"/>
        <v>9.6440424285807094E-3</v>
      </c>
      <c r="O150" s="48">
        <f t="shared" si="12"/>
        <v>1</v>
      </c>
      <c r="P150" s="99"/>
      <c r="Q150" s="129" t="s">
        <v>104</v>
      </c>
    </row>
    <row r="151" spans="1:17" ht="27.6" x14ac:dyDescent="0.3">
      <c r="A151" s="42" t="s">
        <v>90</v>
      </c>
      <c r="B151" s="144" t="s">
        <v>89</v>
      </c>
      <c r="C151" s="49" t="s">
        <v>33</v>
      </c>
      <c r="D151" s="49" t="s">
        <v>20</v>
      </c>
      <c r="E151" s="49" t="str">
        <f t="shared" si="15"/>
        <v>INDUSTRIALES / AGRICOLAS Plásticos (excepto SUP*) Otros Plásticos No envase</v>
      </c>
      <c r="F151" s="49" t="s">
        <v>263</v>
      </c>
      <c r="G151" s="48">
        <v>1</v>
      </c>
      <c r="H151" s="60">
        <f t="shared" si="16"/>
        <v>150.19999999999999</v>
      </c>
      <c r="I151" s="60"/>
      <c r="J151" s="60"/>
      <c r="K151" s="60"/>
      <c r="L151" s="60"/>
      <c r="M151" s="48">
        <f t="shared" si="13"/>
        <v>149.19999999999999</v>
      </c>
      <c r="N151" s="50">
        <f t="shared" si="14"/>
        <v>9.7091169388950193E-3</v>
      </c>
      <c r="O151" s="48">
        <f t="shared" si="12"/>
        <v>1</v>
      </c>
      <c r="P151" s="99"/>
      <c r="Q151" s="92" t="s">
        <v>105</v>
      </c>
    </row>
    <row r="152" spans="1:17" ht="12.75" customHeight="1" x14ac:dyDescent="0.3">
      <c r="A152" s="42" t="s">
        <v>90</v>
      </c>
      <c r="B152" s="144" t="s">
        <v>34</v>
      </c>
      <c r="C152" s="61" t="s">
        <v>35</v>
      </c>
      <c r="D152" s="61"/>
      <c r="E152" s="61" t="str">
        <f t="shared" si="15"/>
        <v xml:space="preserve">INDUSTRIALES / AGRICOLAS * Plásticos de un solo uso (SUP) [iii] Botellas para bebidas de hasta tres litros de capacidad, incluidos sus tapas y tapones </v>
      </c>
      <c r="F152" s="61" t="s">
        <v>264</v>
      </c>
      <c r="G152" s="48">
        <v>1</v>
      </c>
      <c r="H152" s="60">
        <f t="shared" si="16"/>
        <v>151.19999999999999</v>
      </c>
      <c r="I152" s="60"/>
      <c r="J152" s="60"/>
      <c r="K152" s="60"/>
      <c r="L152" s="60"/>
      <c r="M152" s="48">
        <f t="shared" si="13"/>
        <v>150.19999999999999</v>
      </c>
      <c r="N152" s="50">
        <f t="shared" si="14"/>
        <v>9.7741914492093292E-3</v>
      </c>
      <c r="O152" s="48">
        <f t="shared" si="12"/>
        <v>1</v>
      </c>
      <c r="P152" s="103"/>
      <c r="Q152" s="129" t="s">
        <v>104</v>
      </c>
    </row>
    <row r="153" spans="1:17" ht="12.75" customHeight="1" x14ac:dyDescent="0.3">
      <c r="A153" s="42" t="s">
        <v>90</v>
      </c>
      <c r="B153" s="144" t="s">
        <v>34</v>
      </c>
      <c r="C153" s="49" t="s">
        <v>36</v>
      </c>
      <c r="D153" s="49"/>
      <c r="E153" s="49" t="str">
        <f t="shared" si="15"/>
        <v xml:space="preserve">INDUSTRIALES / AGRICOLAS * Plásticos de un solo uso (SUP) [iii] Productos de tabaco con filtro y fitros comercializados para utilizarse en combinación con productos del tabaco </v>
      </c>
      <c r="F153" s="49" t="s">
        <v>265</v>
      </c>
      <c r="G153" s="48">
        <v>1</v>
      </c>
      <c r="H153" s="60">
        <f t="shared" si="16"/>
        <v>152.19999999999999</v>
      </c>
      <c r="I153" s="60"/>
      <c r="J153" s="60"/>
      <c r="K153" s="60"/>
      <c r="L153" s="60"/>
      <c r="M153" s="48">
        <f t="shared" si="13"/>
        <v>151.19999999999999</v>
      </c>
      <c r="N153" s="50">
        <f t="shared" si="14"/>
        <v>9.8392659595236392E-3</v>
      </c>
      <c r="O153" s="48">
        <f t="shared" si="12"/>
        <v>1</v>
      </c>
      <c r="P153" s="99"/>
      <c r="Q153" s="92" t="s">
        <v>105</v>
      </c>
    </row>
    <row r="154" spans="1:17" ht="14.4" x14ac:dyDescent="0.3">
      <c r="A154" s="42" t="s">
        <v>90</v>
      </c>
      <c r="B154" s="144" t="s">
        <v>34</v>
      </c>
      <c r="C154" s="62" t="s">
        <v>37</v>
      </c>
      <c r="D154" s="62"/>
      <c r="E154" s="62" t="str">
        <f t="shared" si="15"/>
        <v xml:space="preserve">INDUSTRIALES / AGRICOLAS * Plásticos de un solo uso (SUP) [iii] Recipientes para alimentos </v>
      </c>
      <c r="F154" s="62" t="s">
        <v>266</v>
      </c>
      <c r="G154" s="48">
        <v>1</v>
      </c>
      <c r="H154" s="60">
        <f t="shared" si="16"/>
        <v>153.19999999999999</v>
      </c>
      <c r="I154" s="60"/>
      <c r="J154" s="60"/>
      <c r="K154" s="60"/>
      <c r="L154" s="60"/>
      <c r="M154" s="48">
        <f t="shared" si="13"/>
        <v>152.19999999999999</v>
      </c>
      <c r="N154" s="50">
        <f t="shared" si="14"/>
        <v>9.9043404698379491E-3</v>
      </c>
      <c r="O154" s="48">
        <f t="shared" si="12"/>
        <v>1</v>
      </c>
      <c r="P154" s="104"/>
      <c r="Q154" s="129" t="s">
        <v>104</v>
      </c>
    </row>
    <row r="155" spans="1:17" ht="12.75" customHeight="1" x14ac:dyDescent="0.3">
      <c r="A155" s="42" t="s">
        <v>90</v>
      </c>
      <c r="B155" s="144" t="s">
        <v>34</v>
      </c>
      <c r="C155" s="63" t="s">
        <v>38</v>
      </c>
      <c r="D155" s="63"/>
      <c r="E155" s="63" t="str">
        <f t="shared" si="15"/>
        <v xml:space="preserve">INDUSTRIALES / AGRICOLAS * Plásticos de un solo uso (SUP) [iii] Vasos para bebidas (incluidas sus tapas y tapones) </v>
      </c>
      <c r="F155" s="63" t="s">
        <v>267</v>
      </c>
      <c r="G155" s="48">
        <v>1</v>
      </c>
      <c r="H155" s="60">
        <f t="shared" si="16"/>
        <v>154.19999999999999</v>
      </c>
      <c r="I155" s="60"/>
      <c r="J155" s="60"/>
      <c r="K155" s="60"/>
      <c r="L155" s="60"/>
      <c r="M155" s="48">
        <f t="shared" si="13"/>
        <v>153.19999999999999</v>
      </c>
      <c r="N155" s="50">
        <f t="shared" si="14"/>
        <v>9.9694149801522591E-3</v>
      </c>
      <c r="O155" s="48">
        <f t="shared" si="12"/>
        <v>1</v>
      </c>
      <c r="P155" s="105"/>
      <c r="Q155" s="129" t="s">
        <v>104</v>
      </c>
    </row>
    <row r="156" spans="1:17" ht="27.6" x14ac:dyDescent="0.3">
      <c r="A156" s="42" t="s">
        <v>90</v>
      </c>
      <c r="B156" s="144" t="s">
        <v>34</v>
      </c>
      <c r="C156" s="63" t="s">
        <v>41</v>
      </c>
      <c r="D156" s="63"/>
      <c r="E156" s="63" t="str">
        <f t="shared" si="15"/>
        <v xml:space="preserve">INDUSTRIALES / AGRICOLAS * Plásticos de un solo uso (SUP) [iii] Otros </v>
      </c>
      <c r="F156" s="63" t="s">
        <v>268</v>
      </c>
      <c r="G156" s="48">
        <v>1</v>
      </c>
      <c r="H156" s="60">
        <f t="shared" si="16"/>
        <v>155.19999999999999</v>
      </c>
      <c r="I156" s="60"/>
      <c r="J156" s="60"/>
      <c r="K156" s="60"/>
      <c r="L156" s="60"/>
      <c r="M156" s="48">
        <f t="shared" si="13"/>
        <v>154.19999999999999</v>
      </c>
      <c r="N156" s="50">
        <f t="shared" si="14"/>
        <v>1.0034489490466567E-2</v>
      </c>
      <c r="O156" s="48">
        <f t="shared" si="12"/>
        <v>1</v>
      </c>
      <c r="P156" s="105"/>
      <c r="Q156" s="129" t="s">
        <v>104</v>
      </c>
    </row>
    <row r="157" spans="1:17" ht="12.75" customHeight="1" x14ac:dyDescent="0.3">
      <c r="A157" s="42" t="s">
        <v>90</v>
      </c>
      <c r="B157" s="148" t="s">
        <v>39</v>
      </c>
      <c r="C157" s="67" t="s">
        <v>66</v>
      </c>
      <c r="D157" s="67"/>
      <c r="E157" s="67" t="str">
        <f t="shared" si="15"/>
        <v xml:space="preserve">INDUSTRIALES / AGRICOLAS Biorresiduos Restos de alimentos no cocinados y restos derivados de la preparación de alimentos </v>
      </c>
      <c r="F157" s="67" t="s">
        <v>269</v>
      </c>
      <c r="G157" s="66">
        <v>1</v>
      </c>
      <c r="H157" s="68">
        <f t="shared" si="16"/>
        <v>156.19999999999999</v>
      </c>
      <c r="I157" s="68"/>
      <c r="J157" s="68"/>
      <c r="K157" s="68"/>
      <c r="L157" s="68"/>
      <c r="M157" s="66">
        <f t="shared" si="13"/>
        <v>155.19999999999999</v>
      </c>
      <c r="N157" s="69">
        <f t="shared" si="14"/>
        <v>1.0099564000780877E-2</v>
      </c>
      <c r="O157" s="66">
        <f t="shared" si="12"/>
        <v>1</v>
      </c>
      <c r="P157" s="106"/>
      <c r="Q157" s="129" t="s">
        <v>104</v>
      </c>
    </row>
    <row r="158" spans="1:17" ht="41.4" x14ac:dyDescent="0.3">
      <c r="A158" s="42" t="s">
        <v>90</v>
      </c>
      <c r="B158" s="148" t="s">
        <v>39</v>
      </c>
      <c r="C158" s="67" t="s">
        <v>67</v>
      </c>
      <c r="D158" s="67"/>
      <c r="E158" s="67" t="str">
        <f t="shared" si="15"/>
        <v xml:space="preserve">INDUSTRIALES / AGRICOLAS Biorresiduos Restos de alimentos cocinados </v>
      </c>
      <c r="F158" s="67" t="s">
        <v>270</v>
      </c>
      <c r="G158" s="66">
        <v>1</v>
      </c>
      <c r="H158" s="68">
        <f t="shared" si="16"/>
        <v>157.19999999999999</v>
      </c>
      <c r="I158" s="68"/>
      <c r="J158" s="68"/>
      <c r="K158" s="68"/>
      <c r="L158" s="68"/>
      <c r="M158" s="66">
        <f t="shared" si="13"/>
        <v>156.19999999999999</v>
      </c>
      <c r="N158" s="69">
        <f t="shared" si="14"/>
        <v>1.0164638511095187E-2</v>
      </c>
      <c r="O158" s="66">
        <f t="shared" si="12"/>
        <v>1</v>
      </c>
      <c r="P158" s="106"/>
      <c r="Q158" s="129" t="s">
        <v>104</v>
      </c>
    </row>
    <row r="159" spans="1:17" ht="12.75" customHeight="1" x14ac:dyDescent="0.3">
      <c r="A159" s="42" t="s">
        <v>90</v>
      </c>
      <c r="B159" s="148" t="s">
        <v>39</v>
      </c>
      <c r="C159" s="67" t="s">
        <v>68</v>
      </c>
      <c r="D159" s="67"/>
      <c r="E159" s="67" t="str">
        <f t="shared" si="15"/>
        <v xml:space="preserve">INDUSTRIALES / AGRICOLAS Biorresiduos Celulosas: Papel de cocina, servilletas </v>
      </c>
      <c r="F159" s="67" t="s">
        <v>271</v>
      </c>
      <c r="G159" s="66">
        <v>1</v>
      </c>
      <c r="H159" s="68">
        <f t="shared" si="16"/>
        <v>158.19999999999999</v>
      </c>
      <c r="I159" s="68"/>
      <c r="J159" s="68"/>
      <c r="K159" s="68"/>
      <c r="L159" s="68"/>
      <c r="M159" s="66">
        <f t="shared" si="13"/>
        <v>157.19999999999999</v>
      </c>
      <c r="N159" s="69">
        <f t="shared" si="14"/>
        <v>1.0229713021409497E-2</v>
      </c>
      <c r="O159" s="66">
        <f t="shared" si="12"/>
        <v>1</v>
      </c>
      <c r="P159" s="106"/>
      <c r="Q159" s="129" t="s">
        <v>104</v>
      </c>
    </row>
    <row r="160" spans="1:17" ht="12.75" customHeight="1" x14ac:dyDescent="0.3">
      <c r="A160" s="42" t="s">
        <v>90</v>
      </c>
      <c r="B160" s="148" t="s">
        <v>39</v>
      </c>
      <c r="C160" s="67" t="s">
        <v>81</v>
      </c>
      <c r="D160" s="67"/>
      <c r="E160" s="67" t="str">
        <f t="shared" si="15"/>
        <v xml:space="preserve">INDUSTRIALES / AGRICOLAS Biorresiduos Otros restos de cocina compostables: bolsas, corchos, palillos de madera y otros resto compostables (vasos de papel, etc.) </v>
      </c>
      <c r="F160" s="67" t="s">
        <v>272</v>
      </c>
      <c r="G160" s="66">
        <v>1</v>
      </c>
      <c r="H160" s="66">
        <f t="shared" si="16"/>
        <v>159.19999999999999</v>
      </c>
      <c r="I160" s="66"/>
      <c r="J160" s="66"/>
      <c r="K160" s="66"/>
      <c r="L160" s="66"/>
      <c r="M160" s="66">
        <f t="shared" si="13"/>
        <v>158.19999999999999</v>
      </c>
      <c r="N160" s="69">
        <f t="shared" si="14"/>
        <v>1.0294787531723807E-2</v>
      </c>
      <c r="O160" s="66">
        <f t="shared" si="12"/>
        <v>1</v>
      </c>
      <c r="P160" s="106"/>
      <c r="Q160" s="129" t="s">
        <v>104</v>
      </c>
    </row>
    <row r="161" spans="1:17" ht="12.75" customHeight="1" x14ac:dyDescent="0.3">
      <c r="A161" s="42" t="s">
        <v>90</v>
      </c>
      <c r="B161" s="148" t="s">
        <v>39</v>
      </c>
      <c r="C161" s="67" t="s">
        <v>69</v>
      </c>
      <c r="D161" s="67"/>
      <c r="E161" s="67" t="str">
        <f t="shared" si="15"/>
        <v xml:space="preserve">INDUSTRIALES / AGRICOLAS Biorresiduos Derroche alimentario: alimentos caducados y en mal estado (a granel o en envases abiertos, el envase se separará en su fracción) </v>
      </c>
      <c r="F161" s="67" t="s">
        <v>273</v>
      </c>
      <c r="G161" s="66">
        <v>1</v>
      </c>
      <c r="H161" s="66">
        <f t="shared" si="16"/>
        <v>160.19999999999999</v>
      </c>
      <c r="I161" s="66"/>
      <c r="J161" s="66"/>
      <c r="K161" s="66"/>
      <c r="L161" s="66"/>
      <c r="M161" s="66">
        <f t="shared" si="13"/>
        <v>159.19999999999999</v>
      </c>
      <c r="N161" s="69">
        <f t="shared" si="14"/>
        <v>1.0359862042038117E-2</v>
      </c>
      <c r="O161" s="66">
        <f t="shared" si="12"/>
        <v>1</v>
      </c>
      <c r="P161" s="106"/>
      <c r="Q161" s="129" t="s">
        <v>104</v>
      </c>
    </row>
    <row r="162" spans="1:17" ht="12.75" customHeight="1" x14ac:dyDescent="0.3">
      <c r="A162" s="42" t="s">
        <v>90</v>
      </c>
      <c r="B162" s="148" t="s">
        <v>39</v>
      </c>
      <c r="C162" s="67" t="s">
        <v>71</v>
      </c>
      <c r="D162" s="67"/>
      <c r="E162" s="67" t="str">
        <f t="shared" si="15"/>
        <v xml:space="preserve">INDUSTRIALES / AGRICOLAS Biorresiduos Restos vegetales (césped, hojas, flores, etc.) </v>
      </c>
      <c r="F162" s="67" t="s">
        <v>274</v>
      </c>
      <c r="G162" s="66">
        <v>1</v>
      </c>
      <c r="H162" s="66">
        <f t="shared" si="16"/>
        <v>161.19999999999999</v>
      </c>
      <c r="I162" s="66"/>
      <c r="J162" s="66"/>
      <c r="K162" s="66"/>
      <c r="L162" s="66"/>
      <c r="M162" s="66">
        <f t="shared" si="13"/>
        <v>160.19999999999999</v>
      </c>
      <c r="N162" s="69">
        <f t="shared" si="14"/>
        <v>1.0424936552352427E-2</v>
      </c>
      <c r="O162" s="66">
        <f t="shared" si="12"/>
        <v>1</v>
      </c>
      <c r="P162" s="106"/>
      <c r="Q162" s="129" t="s">
        <v>104</v>
      </c>
    </row>
    <row r="163" spans="1:17" ht="12.75" customHeight="1" x14ac:dyDescent="0.3">
      <c r="A163" s="42" t="s">
        <v>90</v>
      </c>
      <c r="B163" s="148" t="s">
        <v>39</v>
      </c>
      <c r="C163" s="67" t="s">
        <v>72</v>
      </c>
      <c r="D163" s="67"/>
      <c r="E163" s="67" t="str">
        <f t="shared" si="15"/>
        <v xml:space="preserve">INDUSTRIALES / AGRICOLAS Biorresiduos Restos de poda (ramas, arbustos, etc.) </v>
      </c>
      <c r="F163" s="67" t="s">
        <v>275</v>
      </c>
      <c r="G163" s="66">
        <v>1</v>
      </c>
      <c r="H163" s="66">
        <f t="shared" si="16"/>
        <v>162.19999999999999</v>
      </c>
      <c r="I163" s="66"/>
      <c r="J163" s="66"/>
      <c r="K163" s="66"/>
      <c r="L163" s="66"/>
      <c r="M163" s="66">
        <f t="shared" si="13"/>
        <v>161.19999999999999</v>
      </c>
      <c r="N163" s="69">
        <f t="shared" si="14"/>
        <v>1.0490011062666737E-2</v>
      </c>
      <c r="O163" s="66">
        <f t="shared" si="12"/>
        <v>1</v>
      </c>
      <c r="P163" s="106"/>
      <c r="Q163" s="129" t="s">
        <v>104</v>
      </c>
    </row>
    <row r="164" spans="1:17" ht="12.75" customHeight="1" x14ac:dyDescent="0.3">
      <c r="A164" s="42" t="s">
        <v>90</v>
      </c>
      <c r="B164" s="65" t="s">
        <v>84</v>
      </c>
      <c r="C164" s="64" t="s">
        <v>70</v>
      </c>
      <c r="D164" s="64"/>
      <c r="E164" s="64" t="str">
        <f t="shared" si="15"/>
        <v xml:space="preserve">INDUSTRIALES / AGRICOLAS ACEITE Aceite de cocina usados (contenidos en envases) </v>
      </c>
      <c r="F164" s="64" t="s">
        <v>276</v>
      </c>
      <c r="G164" s="53">
        <v>1</v>
      </c>
      <c r="H164" s="53">
        <f t="shared" si="16"/>
        <v>163.19999999999999</v>
      </c>
      <c r="I164" s="53"/>
      <c r="J164" s="53"/>
      <c r="K164" s="53"/>
      <c r="L164" s="53"/>
      <c r="M164" s="53">
        <f t="shared" si="13"/>
        <v>162.19999999999999</v>
      </c>
      <c r="N164" s="54">
        <f t="shared" si="14"/>
        <v>1.0555085572981047E-2</v>
      </c>
      <c r="O164" s="53">
        <f t="shared" si="12"/>
        <v>1</v>
      </c>
      <c r="P164" s="107"/>
      <c r="Q164" s="129" t="s">
        <v>104</v>
      </c>
    </row>
    <row r="165" spans="1:17" x14ac:dyDescent="0.3">
      <c r="A165" s="42" t="s">
        <v>90</v>
      </c>
      <c r="B165" s="70" t="s">
        <v>91</v>
      </c>
      <c r="C165" s="71" t="s">
        <v>58</v>
      </c>
      <c r="D165" s="71"/>
      <c r="E165" s="71" t="str">
        <f t="shared" si="15"/>
        <v xml:space="preserve">INDUSTRIALES / AGRICOLAS RAEE [iv] RAEE  </v>
      </c>
      <c r="F165" s="71" t="s">
        <v>277</v>
      </c>
      <c r="G165" s="72">
        <v>1</v>
      </c>
      <c r="H165" s="72">
        <f t="shared" si="16"/>
        <v>164.2</v>
      </c>
      <c r="I165" s="72"/>
      <c r="J165" s="72"/>
      <c r="K165" s="72"/>
      <c r="L165" s="72"/>
      <c r="M165" s="72">
        <f t="shared" si="13"/>
        <v>163.19999999999999</v>
      </c>
      <c r="N165" s="73">
        <f t="shared" si="14"/>
        <v>1.0620160083295357E-2</v>
      </c>
      <c r="O165" s="72">
        <f t="shared" si="12"/>
        <v>1</v>
      </c>
      <c r="P165" s="108"/>
      <c r="Q165" s="129" t="s">
        <v>104</v>
      </c>
    </row>
    <row r="166" spans="1:17" ht="41.4" x14ac:dyDescent="0.3">
      <c r="A166" s="42" t="s">
        <v>90</v>
      </c>
      <c r="B166" s="70" t="s">
        <v>73</v>
      </c>
      <c r="C166" s="71" t="s">
        <v>42</v>
      </c>
      <c r="D166" s="71"/>
      <c r="E166" s="71" t="str">
        <f t="shared" si="15"/>
        <v xml:space="preserve">INDUSTRIALES / AGRICOLAS Baterias Pilas y Acumuladores </v>
      </c>
      <c r="F166" s="71" t="s">
        <v>278</v>
      </c>
      <c r="G166" s="72">
        <v>1</v>
      </c>
      <c r="H166" s="72">
        <f t="shared" si="16"/>
        <v>165.2</v>
      </c>
      <c r="I166" s="72"/>
      <c r="J166" s="72"/>
      <c r="K166" s="72"/>
      <c r="L166" s="72"/>
      <c r="M166" s="72">
        <f t="shared" si="13"/>
        <v>164.2</v>
      </c>
      <c r="N166" s="73">
        <f t="shared" si="14"/>
        <v>1.0685234593609667E-2</v>
      </c>
      <c r="O166" s="72">
        <f t="shared" si="12"/>
        <v>1</v>
      </c>
      <c r="P166" s="108"/>
      <c r="Q166" s="129" t="s">
        <v>104</v>
      </c>
    </row>
    <row r="167" spans="1:17" ht="27.6" x14ac:dyDescent="0.3">
      <c r="A167" s="42" t="s">
        <v>90</v>
      </c>
      <c r="B167" s="70" t="s">
        <v>73</v>
      </c>
      <c r="C167" s="71" t="s">
        <v>43</v>
      </c>
      <c r="D167" s="71"/>
      <c r="E167" s="71" t="str">
        <f t="shared" si="15"/>
        <v xml:space="preserve">INDUSTRIALES / AGRICOLAS Baterias Baterías de Vehículos </v>
      </c>
      <c r="F167" s="71" t="s">
        <v>279</v>
      </c>
      <c r="G167" s="72">
        <v>1</v>
      </c>
      <c r="H167" s="72">
        <f t="shared" si="16"/>
        <v>166.2</v>
      </c>
      <c r="I167" s="72"/>
      <c r="J167" s="72"/>
      <c r="K167" s="72"/>
      <c r="L167" s="72"/>
      <c r="M167" s="72">
        <f t="shared" si="13"/>
        <v>165.2</v>
      </c>
      <c r="N167" s="73">
        <f t="shared" si="14"/>
        <v>1.0750309103923975E-2</v>
      </c>
      <c r="O167" s="72">
        <f t="shared" si="12"/>
        <v>1</v>
      </c>
      <c r="P167" s="108"/>
      <c r="Q167" s="129" t="s">
        <v>104</v>
      </c>
    </row>
    <row r="168" spans="1:17" ht="27.6" x14ac:dyDescent="0.3">
      <c r="A168" s="42" t="s">
        <v>90</v>
      </c>
      <c r="B168" s="84" t="s">
        <v>74</v>
      </c>
      <c r="C168" s="85" t="s">
        <v>44</v>
      </c>
      <c r="D168" s="85"/>
      <c r="E168" s="85" t="str">
        <f t="shared" si="15"/>
        <v xml:space="preserve">INDUSTRIALES / AGRICOLAS Textiles Textiles y piel </v>
      </c>
      <c r="F168" s="85" t="s">
        <v>280</v>
      </c>
      <c r="G168" s="86">
        <v>1</v>
      </c>
      <c r="H168" s="86">
        <f t="shared" si="16"/>
        <v>167.2</v>
      </c>
      <c r="I168" s="86"/>
      <c r="J168" s="86"/>
      <c r="K168" s="86"/>
      <c r="L168" s="86"/>
      <c r="M168" s="86">
        <f t="shared" si="13"/>
        <v>166.2</v>
      </c>
      <c r="N168" s="87">
        <f t="shared" si="14"/>
        <v>1.0815383614238285E-2</v>
      </c>
      <c r="O168" s="86">
        <f t="shared" si="12"/>
        <v>1</v>
      </c>
      <c r="P168" s="109"/>
      <c r="Q168" s="129" t="s">
        <v>104</v>
      </c>
    </row>
    <row r="169" spans="1:17" ht="12.75" customHeight="1" x14ac:dyDescent="0.3">
      <c r="A169" s="42" t="s">
        <v>90</v>
      </c>
      <c r="B169" s="75" t="s">
        <v>75</v>
      </c>
      <c r="C169" s="76" t="s">
        <v>45</v>
      </c>
      <c r="D169" s="76"/>
      <c r="E169" s="76" t="str">
        <f t="shared" si="15"/>
        <v xml:space="preserve">INDUSTRIALES / AGRICOLAS Textiles sanitarios Textiles y celulósicos sanitarios </v>
      </c>
      <c r="F169" s="76" t="s">
        <v>281</v>
      </c>
      <c r="G169" s="77">
        <v>1</v>
      </c>
      <c r="H169" s="77">
        <f t="shared" si="16"/>
        <v>168.2</v>
      </c>
      <c r="I169" s="77"/>
      <c r="J169" s="77"/>
      <c r="K169" s="77"/>
      <c r="L169" s="77"/>
      <c r="M169" s="77">
        <f t="shared" si="13"/>
        <v>167.2</v>
      </c>
      <c r="N169" s="78">
        <f t="shared" si="14"/>
        <v>1.0880458124552595E-2</v>
      </c>
      <c r="O169" s="77">
        <f t="shared" si="12"/>
        <v>1</v>
      </c>
      <c r="P169" s="110"/>
      <c r="Q169" s="92" t="s">
        <v>105</v>
      </c>
    </row>
    <row r="170" spans="1:17" ht="27.6" x14ac:dyDescent="0.3">
      <c r="A170" s="42" t="s">
        <v>90</v>
      </c>
      <c r="B170" s="149" t="s">
        <v>76</v>
      </c>
      <c r="C170" s="80" t="s">
        <v>48</v>
      </c>
      <c r="D170" s="80"/>
      <c r="E170" s="80" t="str">
        <f t="shared" si="15"/>
        <v xml:space="preserve">INDUSTRIALES / AGRICOLAS Tierras y RCDs Tierras y Escombros </v>
      </c>
      <c r="F170" s="80" t="s">
        <v>282</v>
      </c>
      <c r="G170" s="81">
        <v>1</v>
      </c>
      <c r="H170" s="81">
        <f t="shared" si="16"/>
        <v>169.2</v>
      </c>
      <c r="I170" s="81"/>
      <c r="J170" s="81"/>
      <c r="K170" s="81"/>
      <c r="L170" s="81"/>
      <c r="M170" s="81">
        <f t="shared" si="13"/>
        <v>168.2</v>
      </c>
      <c r="N170" s="82">
        <f t="shared" si="14"/>
        <v>1.0945532634866905E-2</v>
      </c>
      <c r="O170" s="81">
        <f t="shared" si="12"/>
        <v>1</v>
      </c>
      <c r="P170" s="111"/>
      <c r="Q170" s="129" t="s">
        <v>104</v>
      </c>
    </row>
    <row r="171" spans="1:17" ht="41.4" x14ac:dyDescent="0.3">
      <c r="A171" s="42" t="s">
        <v>90</v>
      </c>
      <c r="B171" s="149" t="s">
        <v>76</v>
      </c>
      <c r="C171" s="80" t="s">
        <v>77</v>
      </c>
      <c r="D171" s="80"/>
      <c r="E171" s="80" t="str">
        <f t="shared" si="15"/>
        <v xml:space="preserve">INDUSTRIALES / AGRICOLAS Tierras y RCDs Restos de obras menores </v>
      </c>
      <c r="F171" s="80" t="s">
        <v>283</v>
      </c>
      <c r="G171" s="81">
        <v>1</v>
      </c>
      <c r="H171" s="81">
        <f t="shared" si="16"/>
        <v>170.2</v>
      </c>
      <c r="I171" s="81"/>
      <c r="J171" s="81"/>
      <c r="K171" s="81"/>
      <c r="L171" s="81"/>
      <c r="M171" s="81">
        <f t="shared" si="13"/>
        <v>169.2</v>
      </c>
      <c r="N171" s="82">
        <f t="shared" si="14"/>
        <v>1.1010607145181215E-2</v>
      </c>
      <c r="O171" s="81">
        <f t="shared" si="12"/>
        <v>1</v>
      </c>
      <c r="P171" s="111"/>
      <c r="Q171" s="129" t="s">
        <v>104</v>
      </c>
    </row>
    <row r="172" spans="1:17" ht="12.75" customHeight="1" x14ac:dyDescent="0.3">
      <c r="A172" s="42" t="s">
        <v>90</v>
      </c>
      <c r="B172" s="149" t="s">
        <v>41</v>
      </c>
      <c r="C172" s="83" t="s">
        <v>78</v>
      </c>
      <c r="D172" s="83"/>
      <c r="E172" s="83" t="str">
        <f t="shared" si="15"/>
        <v xml:space="preserve">INDUSTRIALES / AGRICOLAS Otros Inclasificables mayores de 50 mm </v>
      </c>
      <c r="F172" s="83" t="s">
        <v>284</v>
      </c>
      <c r="G172" s="81">
        <v>1</v>
      </c>
      <c r="H172" s="81">
        <f t="shared" si="16"/>
        <v>171.2</v>
      </c>
      <c r="I172" s="81"/>
      <c r="J172" s="81"/>
      <c r="K172" s="81"/>
      <c r="L172" s="81"/>
      <c r="M172" s="81">
        <f t="shared" si="13"/>
        <v>170.2</v>
      </c>
      <c r="N172" s="82">
        <f t="shared" si="14"/>
        <v>1.1075681655495525E-2</v>
      </c>
      <c r="O172" s="81">
        <f t="shared" si="12"/>
        <v>1</v>
      </c>
      <c r="P172" s="112"/>
      <c r="Q172" s="92" t="s">
        <v>105</v>
      </c>
    </row>
    <row r="173" spans="1:17" ht="12.75" customHeight="1" x14ac:dyDescent="0.3">
      <c r="A173" s="42" t="s">
        <v>90</v>
      </c>
      <c r="B173" s="149" t="s">
        <v>41</v>
      </c>
      <c r="C173" s="83" t="s">
        <v>79</v>
      </c>
      <c r="D173" s="83"/>
      <c r="E173" s="83" t="str">
        <f t="shared" si="15"/>
        <v xml:space="preserve">INDUSTRIALES / AGRICOLAS Otros Finos &lt; 50 mm (si &gt; 2kg*, se hará una analitica en laboratorio) </v>
      </c>
      <c r="F173" s="83" t="s">
        <v>285</v>
      </c>
      <c r="G173" s="81">
        <v>1</v>
      </c>
      <c r="H173" s="81">
        <f t="shared" si="16"/>
        <v>172.2</v>
      </c>
      <c r="I173" s="81"/>
      <c r="J173" s="81"/>
      <c r="K173" s="81"/>
      <c r="L173" s="81"/>
      <c r="M173" s="81">
        <f t="shared" si="13"/>
        <v>171.2</v>
      </c>
      <c r="N173" s="82">
        <f t="shared" si="14"/>
        <v>1.1140756165809835E-2</v>
      </c>
      <c r="O173" s="81">
        <f t="shared" si="12"/>
        <v>1</v>
      </c>
      <c r="P173" s="112"/>
      <c r="Q173" s="92" t="s">
        <v>105</v>
      </c>
    </row>
    <row r="174" spans="1:17" ht="12.75" customHeight="1" x14ac:dyDescent="0.3">
      <c r="A174" s="42" t="s">
        <v>90</v>
      </c>
      <c r="B174" s="149" t="s">
        <v>41</v>
      </c>
      <c r="C174" s="83" t="s">
        <v>46</v>
      </c>
      <c r="D174" s="83"/>
      <c r="E174" s="83" t="str">
        <f t="shared" si="15"/>
        <v xml:space="preserve">INDUSTRIALES / AGRICOLAS Otros Cantidad de Producto en Envases (Sólido) </v>
      </c>
      <c r="F174" s="83" t="s">
        <v>286</v>
      </c>
      <c r="G174" s="81">
        <v>1</v>
      </c>
      <c r="H174" s="81">
        <f t="shared" si="16"/>
        <v>173.2</v>
      </c>
      <c r="I174" s="81"/>
      <c r="J174" s="81"/>
      <c r="K174" s="81"/>
      <c r="L174" s="81"/>
      <c r="M174" s="81">
        <f t="shared" si="13"/>
        <v>172.2</v>
      </c>
      <c r="N174" s="82">
        <f t="shared" si="14"/>
        <v>1.1205830676124144E-2</v>
      </c>
      <c r="O174" s="81">
        <f t="shared" si="12"/>
        <v>1</v>
      </c>
      <c r="P174" s="112"/>
      <c r="Q174" s="92" t="s">
        <v>105</v>
      </c>
    </row>
    <row r="175" spans="1:17" ht="12.75" customHeight="1" x14ac:dyDescent="0.3">
      <c r="A175" s="42" t="s">
        <v>90</v>
      </c>
      <c r="B175" s="149" t="s">
        <v>41</v>
      </c>
      <c r="C175" s="83" t="s">
        <v>47</v>
      </c>
      <c r="D175" s="83"/>
      <c r="E175" s="83" t="str">
        <f t="shared" si="15"/>
        <v xml:space="preserve">INDUSTRIALES / AGRICOLAS Otros Cantidad de Producto en Envases (líquido-no aceite) </v>
      </c>
      <c r="F175" s="83" t="s">
        <v>287</v>
      </c>
      <c r="G175" s="81">
        <v>1</v>
      </c>
      <c r="H175" s="81">
        <f t="shared" si="16"/>
        <v>174.2</v>
      </c>
      <c r="I175" s="81"/>
      <c r="J175" s="81"/>
      <c r="K175" s="81"/>
      <c r="L175" s="81"/>
      <c r="M175" s="81">
        <f t="shared" si="13"/>
        <v>173.2</v>
      </c>
      <c r="N175" s="82">
        <f t="shared" si="14"/>
        <v>1.1270905186438454E-2</v>
      </c>
      <c r="O175" s="81">
        <f t="shared" si="12"/>
        <v>1</v>
      </c>
      <c r="P175" s="112"/>
      <c r="Q175" s="92" t="s">
        <v>105</v>
      </c>
    </row>
    <row r="176" spans="1:17" x14ac:dyDescent="0.3">
      <c r="A176" s="42" t="s">
        <v>90</v>
      </c>
      <c r="B176" s="149" t="s">
        <v>41</v>
      </c>
      <c r="C176" s="80" t="s">
        <v>49</v>
      </c>
      <c r="D176" s="80"/>
      <c r="E176" s="80" t="str">
        <f t="shared" si="15"/>
        <v xml:space="preserve">INDUSTRIALES / AGRICOLAS Otros Caucho </v>
      </c>
      <c r="F176" s="80" t="s">
        <v>288</v>
      </c>
      <c r="G176" s="81">
        <v>1</v>
      </c>
      <c r="H176" s="81">
        <f t="shared" si="16"/>
        <v>175.2</v>
      </c>
      <c r="I176" s="81"/>
      <c r="J176" s="81"/>
      <c r="K176" s="81"/>
      <c r="L176" s="81"/>
      <c r="M176" s="81">
        <f t="shared" si="13"/>
        <v>174.2</v>
      </c>
      <c r="N176" s="82">
        <f t="shared" si="14"/>
        <v>1.1335979696752764E-2</v>
      </c>
      <c r="O176" s="81">
        <f t="shared" si="12"/>
        <v>1</v>
      </c>
      <c r="P176" s="111"/>
      <c r="Q176" s="92" t="s">
        <v>105</v>
      </c>
    </row>
    <row r="177" spans="1:17" ht="12.75" customHeight="1" x14ac:dyDescent="0.3">
      <c r="A177" s="42" t="s">
        <v>90</v>
      </c>
      <c r="B177" s="149" t="s">
        <v>41</v>
      </c>
      <c r="C177" s="83" t="s">
        <v>80</v>
      </c>
      <c r="D177" s="83"/>
      <c r="E177" s="83" t="str">
        <f t="shared" si="15"/>
        <v xml:space="preserve">INDUSTRIALES / AGRICOLAS Otros Otros otros  (cuerdas multimaterial…) </v>
      </c>
      <c r="F177" s="83" t="s">
        <v>289</v>
      </c>
      <c r="G177" s="81">
        <v>1</v>
      </c>
      <c r="H177" s="81">
        <f t="shared" si="16"/>
        <v>176.2</v>
      </c>
      <c r="I177" s="81"/>
      <c r="J177" s="81"/>
      <c r="K177" s="81"/>
      <c r="L177" s="81"/>
      <c r="M177" s="81">
        <f t="shared" si="13"/>
        <v>175.2</v>
      </c>
      <c r="N177" s="82">
        <f t="shared" si="14"/>
        <v>1.1401054207067074E-2</v>
      </c>
      <c r="O177" s="81">
        <f t="shared" si="12"/>
        <v>1</v>
      </c>
      <c r="P177" s="112"/>
      <c r="Q177" s="92" t="s">
        <v>105</v>
      </c>
    </row>
    <row r="185" spans="1:17" ht="14.4" x14ac:dyDescent="0.3">
      <c r="A185" s="34" t="s">
        <v>99</v>
      </c>
      <c r="B185" s="35" t="s">
        <v>126</v>
      </c>
      <c r="C185" s="124" t="s">
        <v>127</v>
      </c>
    </row>
    <row r="186" spans="1:17" ht="14.4" x14ac:dyDescent="0.3">
      <c r="A186" s="35" t="s">
        <v>82</v>
      </c>
      <c r="B186" s="150">
        <v>5113.7999999999956</v>
      </c>
      <c r="C186" s="124">
        <v>0.33277803084531737</v>
      </c>
    </row>
    <row r="187" spans="1:17" ht="14.4" x14ac:dyDescent="0.3">
      <c r="A187" s="35" t="s">
        <v>11</v>
      </c>
      <c r="B187" s="150">
        <v>2223.4000000000005</v>
      </c>
      <c r="C187" s="124">
        <v>0.14468666623283633</v>
      </c>
    </row>
    <row r="188" spans="1:17" ht="14.4" x14ac:dyDescent="0.3">
      <c r="A188" s="35" t="s">
        <v>90</v>
      </c>
      <c r="B188" s="150">
        <v>8029.7999999999938</v>
      </c>
      <c r="C188" s="124">
        <v>0.52253530292184469</v>
      </c>
    </row>
    <row r="189" spans="1:17" ht="14.4" x14ac:dyDescent="0.3">
      <c r="A189" s="35" t="s">
        <v>100</v>
      </c>
      <c r="B189" s="150">
        <v>15366.999999999989</v>
      </c>
      <c r="C189" s="124">
        <v>0.99999999999999845</v>
      </c>
    </row>
    <row r="190" spans="1:17" ht="14.4" x14ac:dyDescent="0.3">
      <c r="A190"/>
      <c r="B190" s="35"/>
      <c r="C190"/>
    </row>
    <row r="191" spans="1:17" ht="14.4" x14ac:dyDescent="0.3">
      <c r="A191"/>
      <c r="B191" s="35"/>
      <c r="C191"/>
    </row>
    <row r="192" spans="1:17" ht="14.4" x14ac:dyDescent="0.3">
      <c r="A192"/>
      <c r="B192" s="35"/>
      <c r="C192"/>
    </row>
    <row r="193" spans="1:3" ht="14.4" x14ac:dyDescent="0.3">
      <c r="A193"/>
      <c r="B193" s="35"/>
      <c r="C193"/>
    </row>
    <row r="194" spans="1:3" ht="14.4" x14ac:dyDescent="0.3">
      <c r="A194"/>
      <c r="B194" s="35"/>
      <c r="C194"/>
    </row>
    <row r="195" spans="1:3" ht="14.4" x14ac:dyDescent="0.3">
      <c r="A195"/>
      <c r="B195" s="35"/>
      <c r="C195"/>
    </row>
    <row r="196" spans="1:3" ht="14.4" x14ac:dyDescent="0.3">
      <c r="A196"/>
      <c r="B196" s="35"/>
      <c r="C196"/>
    </row>
    <row r="197" spans="1:3" ht="14.4" x14ac:dyDescent="0.3">
      <c r="A197"/>
      <c r="B197" s="35"/>
      <c r="C197"/>
    </row>
    <row r="198" spans="1:3" ht="14.4" x14ac:dyDescent="0.3">
      <c r="A198"/>
      <c r="B198" s="35"/>
      <c r="C198"/>
    </row>
    <row r="199" spans="1:3" ht="14.4" x14ac:dyDescent="0.3">
      <c r="A199"/>
      <c r="B199" s="35"/>
      <c r="C199"/>
    </row>
    <row r="200" spans="1:3" ht="14.4" x14ac:dyDescent="0.3">
      <c r="A200"/>
      <c r="B200" s="35"/>
      <c r="C200"/>
    </row>
    <row r="201" spans="1:3" ht="14.4" x14ac:dyDescent="0.3">
      <c r="A201" s="34" t="s">
        <v>99</v>
      </c>
      <c r="B201" s="35" t="s">
        <v>126</v>
      </c>
      <c r="C201" s="124" t="s">
        <v>127</v>
      </c>
    </row>
    <row r="202" spans="1:3" ht="14.4" x14ac:dyDescent="0.3">
      <c r="A202" s="35" t="s">
        <v>104</v>
      </c>
      <c r="B202" s="150">
        <v>9787.5999999999985</v>
      </c>
      <c r="C202" s="124">
        <v>0.63692327715233854</v>
      </c>
    </row>
    <row r="203" spans="1:3" ht="14.4" x14ac:dyDescent="0.3">
      <c r="A203" s="35" t="s">
        <v>105</v>
      </c>
      <c r="B203" s="150">
        <v>5579.399999999996</v>
      </c>
      <c r="C203" s="124">
        <v>0.36307672284766013</v>
      </c>
    </row>
    <row r="204" spans="1:3" ht="14.4" x14ac:dyDescent="0.3">
      <c r="A204" s="35" t="s">
        <v>100</v>
      </c>
      <c r="B204" s="150">
        <v>15366.999999999995</v>
      </c>
      <c r="C204" s="124">
        <v>0.99999999999999867</v>
      </c>
    </row>
    <row r="205" spans="1:3" ht="14.4" x14ac:dyDescent="0.3">
      <c r="A205"/>
      <c r="B205" s="35"/>
      <c r="C205"/>
    </row>
    <row r="206" spans="1:3" ht="14.4" x14ac:dyDescent="0.3">
      <c r="A206"/>
      <c r="B206" s="35"/>
      <c r="C206"/>
    </row>
    <row r="207" spans="1:3" ht="14.4" x14ac:dyDescent="0.3">
      <c r="A207"/>
      <c r="B207" s="35"/>
      <c r="C207"/>
    </row>
    <row r="208" spans="1:3" ht="14.4" x14ac:dyDescent="0.3">
      <c r="A208"/>
      <c r="B208" s="35"/>
      <c r="C208"/>
    </row>
    <row r="209" spans="1:3" ht="14.4" x14ac:dyDescent="0.3">
      <c r="A209"/>
      <c r="B209" s="35"/>
      <c r="C209"/>
    </row>
    <row r="210" spans="1:3" ht="14.4" x14ac:dyDescent="0.3">
      <c r="A210"/>
      <c r="B210" s="35"/>
      <c r="C210"/>
    </row>
    <row r="211" spans="1:3" ht="14.4" x14ac:dyDescent="0.3">
      <c r="A211"/>
      <c r="B211" s="35"/>
      <c r="C211"/>
    </row>
    <row r="212" spans="1:3" ht="14.4" x14ac:dyDescent="0.3">
      <c r="A212"/>
      <c r="B212" s="35"/>
      <c r="C212"/>
    </row>
    <row r="213" spans="1:3" ht="14.4" x14ac:dyDescent="0.3">
      <c r="A213"/>
      <c r="B213" s="35"/>
      <c r="C213"/>
    </row>
    <row r="214" spans="1:3" ht="14.4" x14ac:dyDescent="0.3">
      <c r="A214"/>
      <c r="B214" s="35"/>
      <c r="C214"/>
    </row>
    <row r="215" spans="1:3" ht="14.4" x14ac:dyDescent="0.3">
      <c r="A215"/>
      <c r="B215" s="35"/>
      <c r="C215"/>
    </row>
    <row r="216" spans="1:3" ht="14.4" x14ac:dyDescent="0.3">
      <c r="A216"/>
      <c r="B216" s="35"/>
      <c r="C216"/>
    </row>
    <row r="217" spans="1:3" ht="14.4" x14ac:dyDescent="0.3">
      <c r="A217"/>
      <c r="B217" s="35"/>
      <c r="C217"/>
    </row>
    <row r="218" spans="1:3" ht="14.4" x14ac:dyDescent="0.3">
      <c r="A218" s="34" t="s">
        <v>99</v>
      </c>
      <c r="B218" s="35" t="s">
        <v>126</v>
      </c>
      <c r="C218" s="124" t="s">
        <v>127</v>
      </c>
    </row>
    <row r="219" spans="1:3" ht="14.4" x14ac:dyDescent="0.3">
      <c r="A219" s="35" t="s">
        <v>34</v>
      </c>
      <c r="B219" s="150">
        <v>1473.0000000000002</v>
      </c>
      <c r="C219" s="124">
        <v>9.5854753692978301E-2</v>
      </c>
    </row>
    <row r="220" spans="1:3" ht="14.4" x14ac:dyDescent="0.3">
      <c r="A220" s="35" t="s">
        <v>84</v>
      </c>
      <c r="B220" s="150">
        <v>324.60000000000002</v>
      </c>
      <c r="C220" s="124">
        <v>2.1123186048024954E-2</v>
      </c>
    </row>
    <row r="221" spans="1:3" ht="14.4" x14ac:dyDescent="0.3">
      <c r="A221" s="35" t="s">
        <v>73</v>
      </c>
      <c r="B221" s="150">
        <v>664.2</v>
      </c>
      <c r="C221" s="124">
        <v>4.3222489750764558E-2</v>
      </c>
    </row>
    <row r="222" spans="1:3" ht="14.4" x14ac:dyDescent="0.3">
      <c r="A222" s="35" t="s">
        <v>39</v>
      </c>
      <c r="B222" s="150">
        <v>2188.2000000000003</v>
      </c>
      <c r="C222" s="124">
        <v>0.14239604346977267</v>
      </c>
    </row>
    <row r="223" spans="1:3" ht="14.4" x14ac:dyDescent="0.3">
      <c r="A223" s="35" t="s">
        <v>18</v>
      </c>
      <c r="B223" s="150">
        <v>213.60000000000002</v>
      </c>
      <c r="C223" s="124">
        <v>1.3899915403136572E-2</v>
      </c>
    </row>
    <row r="224" spans="1:3" ht="14.4" x14ac:dyDescent="0.3">
      <c r="A224" s="35" t="s">
        <v>25</v>
      </c>
      <c r="B224" s="150">
        <v>472.2</v>
      </c>
      <c r="C224" s="124">
        <v>3.0728183770417077E-2</v>
      </c>
    </row>
    <row r="225" spans="1:3" ht="14.4" x14ac:dyDescent="0.3">
      <c r="A225" s="35" t="s">
        <v>21</v>
      </c>
      <c r="B225" s="150">
        <v>448.2</v>
      </c>
      <c r="C225" s="124">
        <v>2.9166395522873645E-2</v>
      </c>
    </row>
    <row r="226" spans="1:3" ht="14.4" x14ac:dyDescent="0.3">
      <c r="A226" s="35" t="s">
        <v>23</v>
      </c>
      <c r="B226" s="150">
        <v>460.2</v>
      </c>
      <c r="C226" s="124">
        <v>2.9947289646645364E-2</v>
      </c>
    </row>
    <row r="227" spans="1:3" ht="14.4" x14ac:dyDescent="0.3">
      <c r="A227" s="35" t="s">
        <v>41</v>
      </c>
      <c r="B227" s="150">
        <v>2136.6000000000004</v>
      </c>
      <c r="C227" s="124">
        <v>0.1390381987375543</v>
      </c>
    </row>
    <row r="228" spans="1:3" ht="14.4" x14ac:dyDescent="0.3">
      <c r="A228" s="35" t="s">
        <v>14</v>
      </c>
      <c r="B228" s="150">
        <v>648.40000000000009</v>
      </c>
      <c r="C228" s="124">
        <v>4.2194312487798466E-2</v>
      </c>
    </row>
    <row r="229" spans="1:3" ht="14.4" x14ac:dyDescent="0.3">
      <c r="A229" s="35" t="s">
        <v>89</v>
      </c>
      <c r="B229" s="150">
        <v>4209.5999999999976</v>
      </c>
      <c r="C229" s="124">
        <v>0.27393765861911845</v>
      </c>
    </row>
    <row r="230" spans="1:3" ht="14.4" x14ac:dyDescent="0.3">
      <c r="A230" s="35" t="s">
        <v>101</v>
      </c>
      <c r="B230" s="150">
        <v>327.60000000000002</v>
      </c>
      <c r="C230" s="124">
        <v>2.1318409578967884E-2</v>
      </c>
    </row>
    <row r="231" spans="1:3" ht="14.4" x14ac:dyDescent="0.3">
      <c r="A231" s="35" t="s">
        <v>74</v>
      </c>
      <c r="B231" s="150">
        <v>336.6</v>
      </c>
      <c r="C231" s="124">
        <v>2.1904080171796673E-2</v>
      </c>
    </row>
    <row r="232" spans="1:3" ht="14.4" x14ac:dyDescent="0.3">
      <c r="A232" s="35" t="s">
        <v>75</v>
      </c>
      <c r="B232" s="150">
        <v>339.6</v>
      </c>
      <c r="C232" s="124">
        <v>2.2099303702739603E-2</v>
      </c>
    </row>
    <row r="233" spans="1:3" ht="14.4" x14ac:dyDescent="0.3">
      <c r="A233" s="35" t="s">
        <v>76</v>
      </c>
      <c r="B233" s="150">
        <v>688.2</v>
      </c>
      <c r="C233" s="124">
        <v>4.4784277998307989E-2</v>
      </c>
    </row>
    <row r="234" spans="1:3" ht="14.4" x14ac:dyDescent="0.3">
      <c r="A234" s="35" t="s">
        <v>51</v>
      </c>
      <c r="B234" s="150">
        <v>436.2</v>
      </c>
      <c r="C234" s="124">
        <v>2.8385501399101926E-2</v>
      </c>
    </row>
    <row r="235" spans="1:3" ht="14.4" x14ac:dyDescent="0.3">
      <c r="A235" s="35" t="s">
        <v>100</v>
      </c>
      <c r="B235" s="150">
        <v>15366.999999999998</v>
      </c>
      <c r="C235" s="124">
        <v>0.99999999999999845</v>
      </c>
    </row>
    <row r="262" spans="1:3" ht="14.4" x14ac:dyDescent="0.3">
      <c r="A262" s="34" t="s">
        <v>99</v>
      </c>
      <c r="B262" s="35" t="s">
        <v>126</v>
      </c>
      <c r="C262" s="124" t="s">
        <v>127</v>
      </c>
    </row>
    <row r="263" spans="1:3" ht="14.4" x14ac:dyDescent="0.3">
      <c r="A263" s="35" t="s">
        <v>104</v>
      </c>
      <c r="B263" s="150"/>
      <c r="C263" s="124"/>
    </row>
    <row r="264" spans="1:3" ht="14.4" x14ac:dyDescent="0.3">
      <c r="A264" s="36" t="s">
        <v>210</v>
      </c>
      <c r="B264" s="150">
        <v>96.2</v>
      </c>
      <c r="C264" s="124">
        <v>6.2601678922366011E-3</v>
      </c>
    </row>
    <row r="265" spans="1:3" ht="14.4" x14ac:dyDescent="0.3">
      <c r="A265" s="36" t="s">
        <v>214</v>
      </c>
      <c r="B265" s="150">
        <v>100.2</v>
      </c>
      <c r="C265" s="124">
        <v>6.5204659334938408E-3</v>
      </c>
    </row>
    <row r="266" spans="1:3" ht="14.4" x14ac:dyDescent="0.3">
      <c r="A266" s="36" t="s">
        <v>212</v>
      </c>
      <c r="B266" s="150">
        <v>98.2</v>
      </c>
      <c r="C266" s="124">
        <v>6.390316912865221E-3</v>
      </c>
    </row>
    <row r="267" spans="1:3" ht="14.4" x14ac:dyDescent="0.3">
      <c r="A267" s="36" t="s">
        <v>213</v>
      </c>
      <c r="B267" s="150">
        <v>99.2</v>
      </c>
      <c r="C267" s="124">
        <v>6.4553914231795309E-3</v>
      </c>
    </row>
    <row r="268" spans="1:3" ht="14.4" x14ac:dyDescent="0.3">
      <c r="A268" s="36" t="s">
        <v>222</v>
      </c>
      <c r="B268" s="150">
        <v>108.2</v>
      </c>
      <c r="C268" s="124">
        <v>7.0410620160083186E-3</v>
      </c>
    </row>
    <row r="269" spans="1:3" ht="14.4" x14ac:dyDescent="0.3">
      <c r="A269" s="36" t="s">
        <v>225</v>
      </c>
      <c r="B269" s="150">
        <v>111.2</v>
      </c>
      <c r="C269" s="124">
        <v>7.2362855469512485E-3</v>
      </c>
    </row>
    <row r="270" spans="1:3" ht="14.4" x14ac:dyDescent="0.3">
      <c r="A270" s="36" t="s">
        <v>224</v>
      </c>
      <c r="B270" s="150">
        <v>110.2</v>
      </c>
      <c r="C270" s="124">
        <v>7.1712110366369385E-3</v>
      </c>
    </row>
    <row r="271" spans="1:3" ht="14.4" x14ac:dyDescent="0.3">
      <c r="A271" s="36" t="s">
        <v>217</v>
      </c>
      <c r="B271" s="150">
        <v>103.2</v>
      </c>
      <c r="C271" s="124">
        <v>6.7156894644367698E-3</v>
      </c>
    </row>
    <row r="272" spans="1:3" ht="14.4" x14ac:dyDescent="0.3">
      <c r="A272" s="36" t="s">
        <v>219</v>
      </c>
      <c r="B272" s="150">
        <v>105.2</v>
      </c>
      <c r="C272" s="124">
        <v>6.8458384850653897E-3</v>
      </c>
    </row>
    <row r="273" spans="1:3" ht="14.4" x14ac:dyDescent="0.3">
      <c r="A273" s="36" t="s">
        <v>218</v>
      </c>
      <c r="B273" s="150">
        <v>104.2</v>
      </c>
      <c r="C273" s="124">
        <v>6.7807639747510797E-3</v>
      </c>
    </row>
    <row r="274" spans="1:3" ht="14.4" x14ac:dyDescent="0.3">
      <c r="A274" s="36" t="s">
        <v>216</v>
      </c>
      <c r="B274" s="150">
        <v>102.2</v>
      </c>
      <c r="C274" s="124">
        <v>6.6506149541224599E-3</v>
      </c>
    </row>
    <row r="275" spans="1:3" ht="14.4" x14ac:dyDescent="0.3">
      <c r="A275" s="36" t="s">
        <v>215</v>
      </c>
      <c r="B275" s="150">
        <v>101.2</v>
      </c>
      <c r="C275" s="124">
        <v>6.5855404438081508E-3</v>
      </c>
    </row>
    <row r="276" spans="1:3" ht="14.4" x14ac:dyDescent="0.3">
      <c r="A276" s="36" t="s">
        <v>221</v>
      </c>
      <c r="B276" s="150">
        <v>107.2</v>
      </c>
      <c r="C276" s="124">
        <v>6.9759875056940087E-3</v>
      </c>
    </row>
    <row r="277" spans="1:3" ht="14.4" x14ac:dyDescent="0.3">
      <c r="A277" s="36" t="s">
        <v>220</v>
      </c>
      <c r="B277" s="150">
        <v>106.2</v>
      </c>
      <c r="C277" s="124">
        <v>6.9109129953796996E-3</v>
      </c>
    </row>
    <row r="278" spans="1:3" ht="14.4" x14ac:dyDescent="0.3">
      <c r="A278" s="36" t="s">
        <v>185</v>
      </c>
      <c r="B278" s="150">
        <v>71.2</v>
      </c>
      <c r="C278" s="124">
        <v>4.6333051343788569E-3</v>
      </c>
    </row>
    <row r="279" spans="1:3" ht="14.4" x14ac:dyDescent="0.3">
      <c r="A279" s="36" t="s">
        <v>192</v>
      </c>
      <c r="B279" s="150">
        <v>78.2</v>
      </c>
      <c r="C279" s="124">
        <v>5.0888267065790256E-3</v>
      </c>
    </row>
    <row r="280" spans="1:3" ht="14.4" x14ac:dyDescent="0.3">
      <c r="A280" s="36" t="s">
        <v>188</v>
      </c>
      <c r="B280" s="150">
        <v>74.2</v>
      </c>
      <c r="C280" s="124">
        <v>4.8285286653217858E-3</v>
      </c>
    </row>
    <row r="281" spans="1:3" ht="14.4" x14ac:dyDescent="0.3">
      <c r="A281" s="36" t="s">
        <v>190</v>
      </c>
      <c r="B281" s="150">
        <v>76.2</v>
      </c>
      <c r="C281" s="124">
        <v>4.9586776859504057E-3</v>
      </c>
    </row>
    <row r="282" spans="1:3" ht="14.4" x14ac:dyDescent="0.3">
      <c r="A282" s="36" t="s">
        <v>182</v>
      </c>
      <c r="B282" s="150">
        <v>68.2</v>
      </c>
      <c r="C282" s="124">
        <v>4.4380816034359279E-3</v>
      </c>
    </row>
    <row r="283" spans="1:3" ht="14.4" x14ac:dyDescent="0.3">
      <c r="A283" s="36" t="s">
        <v>183</v>
      </c>
      <c r="B283" s="150">
        <v>69.2</v>
      </c>
      <c r="C283" s="124">
        <v>4.503156113750237E-3</v>
      </c>
    </row>
    <row r="284" spans="1:3" ht="14.4" x14ac:dyDescent="0.3">
      <c r="A284" s="36" t="s">
        <v>184</v>
      </c>
      <c r="B284" s="150">
        <v>70.2</v>
      </c>
      <c r="C284" s="124">
        <v>4.5682306240645469E-3</v>
      </c>
    </row>
    <row r="285" spans="1:3" ht="14.4" x14ac:dyDescent="0.3">
      <c r="A285" s="36" t="s">
        <v>206</v>
      </c>
      <c r="B285" s="150">
        <v>92.2</v>
      </c>
      <c r="C285" s="124">
        <v>5.9998698509793622E-3</v>
      </c>
    </row>
    <row r="286" spans="1:3" ht="14.4" x14ac:dyDescent="0.3">
      <c r="A286" s="36" t="s">
        <v>208</v>
      </c>
      <c r="B286" s="150">
        <v>94.2</v>
      </c>
      <c r="C286" s="124">
        <v>6.1300188716079821E-3</v>
      </c>
    </row>
    <row r="287" spans="1:3" ht="14.4" x14ac:dyDescent="0.3">
      <c r="A287" s="36" t="s">
        <v>196</v>
      </c>
      <c r="B287" s="150">
        <v>82.2</v>
      </c>
      <c r="C287" s="124">
        <v>5.3491247478362645E-3</v>
      </c>
    </row>
    <row r="288" spans="1:3" ht="14.4" x14ac:dyDescent="0.3">
      <c r="A288" s="36" t="s">
        <v>198</v>
      </c>
      <c r="B288" s="150">
        <v>84.2</v>
      </c>
      <c r="C288" s="124">
        <v>5.4792737684648844E-3</v>
      </c>
    </row>
    <row r="289" spans="1:3" ht="14.4" x14ac:dyDescent="0.3">
      <c r="A289" s="36" t="s">
        <v>194</v>
      </c>
      <c r="B289" s="150">
        <v>80.2</v>
      </c>
      <c r="C289" s="124">
        <v>5.2189757272076446E-3</v>
      </c>
    </row>
    <row r="290" spans="1:3" ht="14.4" x14ac:dyDescent="0.3">
      <c r="A290" s="36" t="s">
        <v>202</v>
      </c>
      <c r="B290" s="150">
        <v>88.2</v>
      </c>
      <c r="C290" s="124">
        <v>5.7395718097221233E-3</v>
      </c>
    </row>
    <row r="291" spans="1:3" ht="14.4" x14ac:dyDescent="0.3">
      <c r="A291" s="36" t="s">
        <v>204</v>
      </c>
      <c r="B291" s="150">
        <v>90.2</v>
      </c>
      <c r="C291" s="124">
        <v>5.8697208303507432E-3</v>
      </c>
    </row>
    <row r="292" spans="1:3" ht="14.4" x14ac:dyDescent="0.3">
      <c r="A292" s="36" t="s">
        <v>200</v>
      </c>
      <c r="B292" s="150">
        <v>86.2</v>
      </c>
      <c r="C292" s="124">
        <v>5.6094227890935034E-3</v>
      </c>
    </row>
    <row r="293" spans="1:3" ht="14.4" x14ac:dyDescent="0.3">
      <c r="A293" s="36" t="s">
        <v>223</v>
      </c>
      <c r="B293" s="150">
        <v>109.2</v>
      </c>
      <c r="C293" s="124">
        <v>7.1061365263226286E-3</v>
      </c>
    </row>
    <row r="294" spans="1:3" ht="14.4" x14ac:dyDescent="0.3">
      <c r="A294" s="36" t="s">
        <v>226</v>
      </c>
      <c r="B294" s="150">
        <v>112.2</v>
      </c>
      <c r="C294" s="124">
        <v>7.3013600572655584E-3</v>
      </c>
    </row>
    <row r="295" spans="1:3" ht="14.4" x14ac:dyDescent="0.3">
      <c r="A295" s="36" t="s">
        <v>229</v>
      </c>
      <c r="B295" s="150">
        <v>115.2</v>
      </c>
      <c r="C295" s="124">
        <v>7.4965835882084874E-3</v>
      </c>
    </row>
    <row r="296" spans="1:3" ht="14.4" x14ac:dyDescent="0.3">
      <c r="A296" s="36" t="s">
        <v>228</v>
      </c>
      <c r="B296" s="150">
        <v>114.2</v>
      </c>
      <c r="C296" s="124">
        <v>7.4315090778941774E-3</v>
      </c>
    </row>
    <row r="297" spans="1:3" ht="14.4" x14ac:dyDescent="0.3">
      <c r="A297" s="36" t="s">
        <v>186</v>
      </c>
      <c r="B297" s="150">
        <v>72.2</v>
      </c>
      <c r="C297" s="124">
        <v>4.6983796446931668E-3</v>
      </c>
    </row>
    <row r="298" spans="1:3" ht="14.4" x14ac:dyDescent="0.3">
      <c r="A298" s="36" t="s">
        <v>187</v>
      </c>
      <c r="B298" s="150">
        <v>73.2</v>
      </c>
      <c r="C298" s="124">
        <v>4.7634541550074768E-3</v>
      </c>
    </row>
    <row r="299" spans="1:3" ht="14.4" x14ac:dyDescent="0.3">
      <c r="A299" s="36" t="s">
        <v>156</v>
      </c>
      <c r="B299" s="150">
        <v>42.2</v>
      </c>
      <c r="C299" s="124">
        <v>2.7461443352638729E-3</v>
      </c>
    </row>
    <row r="300" spans="1:3" ht="14.4" x14ac:dyDescent="0.3">
      <c r="A300" s="36" t="s">
        <v>160</v>
      </c>
      <c r="B300" s="150">
        <v>46.2</v>
      </c>
      <c r="C300" s="124">
        <v>3.0064423765211123E-3</v>
      </c>
    </row>
    <row r="301" spans="1:3" ht="14.4" x14ac:dyDescent="0.3">
      <c r="A301" s="36" t="s">
        <v>158</v>
      </c>
      <c r="B301" s="150">
        <v>44.2</v>
      </c>
      <c r="C301" s="124">
        <v>2.8762933558924928E-3</v>
      </c>
    </row>
    <row r="302" spans="1:3" ht="14.4" x14ac:dyDescent="0.3">
      <c r="A302" s="36" t="s">
        <v>159</v>
      </c>
      <c r="B302" s="150">
        <v>45.2</v>
      </c>
      <c r="C302" s="124">
        <v>2.9413678662068023E-3</v>
      </c>
    </row>
    <row r="303" spans="1:3" ht="14.4" x14ac:dyDescent="0.3">
      <c r="A303" s="36" t="s">
        <v>168</v>
      </c>
      <c r="B303" s="150">
        <v>54.2</v>
      </c>
      <c r="C303" s="124">
        <v>3.5270384590355905E-3</v>
      </c>
    </row>
    <row r="304" spans="1:3" ht="14.4" x14ac:dyDescent="0.3">
      <c r="A304" s="36" t="s">
        <v>171</v>
      </c>
      <c r="B304" s="150">
        <v>57.2</v>
      </c>
      <c r="C304" s="124">
        <v>3.7222619899785199E-3</v>
      </c>
    </row>
    <row r="305" spans="1:3" ht="14.4" x14ac:dyDescent="0.3">
      <c r="A305" s="36" t="s">
        <v>170</v>
      </c>
      <c r="B305" s="150">
        <v>56.2</v>
      </c>
      <c r="C305" s="124">
        <v>3.6571874796642099E-3</v>
      </c>
    </row>
    <row r="306" spans="1:3" ht="14.4" x14ac:dyDescent="0.3">
      <c r="A306" s="36" t="s">
        <v>163</v>
      </c>
      <c r="B306" s="150">
        <v>49.2</v>
      </c>
      <c r="C306" s="124">
        <v>3.2016659074640417E-3</v>
      </c>
    </row>
    <row r="307" spans="1:3" ht="14.4" x14ac:dyDescent="0.3">
      <c r="A307" s="36" t="s">
        <v>165</v>
      </c>
      <c r="B307" s="150">
        <v>51.2</v>
      </c>
      <c r="C307" s="124">
        <v>3.3318149280926611E-3</v>
      </c>
    </row>
    <row r="308" spans="1:3" ht="14.4" x14ac:dyDescent="0.3">
      <c r="A308" s="36" t="s">
        <v>164</v>
      </c>
      <c r="B308" s="150">
        <v>50.2</v>
      </c>
      <c r="C308" s="124">
        <v>3.2667404177783516E-3</v>
      </c>
    </row>
    <row r="309" spans="1:3" ht="14.4" x14ac:dyDescent="0.3">
      <c r="A309" s="36" t="s">
        <v>162</v>
      </c>
      <c r="B309" s="150">
        <v>48.2</v>
      </c>
      <c r="C309" s="124">
        <v>3.1365913971497317E-3</v>
      </c>
    </row>
    <row r="310" spans="1:3" ht="14.4" x14ac:dyDescent="0.3">
      <c r="A310" s="36" t="s">
        <v>161</v>
      </c>
      <c r="B310" s="150">
        <v>47.2</v>
      </c>
      <c r="C310" s="124">
        <v>3.0715168868354222E-3</v>
      </c>
    </row>
    <row r="311" spans="1:3" ht="14.4" x14ac:dyDescent="0.3">
      <c r="A311" s="36" t="s">
        <v>167</v>
      </c>
      <c r="B311" s="150">
        <v>53.2</v>
      </c>
      <c r="C311" s="124">
        <v>3.4619639487212805E-3</v>
      </c>
    </row>
    <row r="312" spans="1:3" ht="14.4" x14ac:dyDescent="0.3">
      <c r="A312" s="36" t="s">
        <v>166</v>
      </c>
      <c r="B312" s="150">
        <v>52.2</v>
      </c>
      <c r="C312" s="124">
        <v>3.396889438406971E-3</v>
      </c>
    </row>
    <row r="313" spans="1:3" ht="14.4" x14ac:dyDescent="0.3">
      <c r="A313" s="36" t="s">
        <v>131</v>
      </c>
      <c r="B313" s="150">
        <v>17.2</v>
      </c>
      <c r="C313" s="124">
        <v>1.1192815774061283E-3</v>
      </c>
    </row>
    <row r="314" spans="1:3" ht="14.4" x14ac:dyDescent="0.3">
      <c r="A314" s="36" t="s">
        <v>138</v>
      </c>
      <c r="B314" s="150">
        <v>24.2</v>
      </c>
      <c r="C314" s="124">
        <v>1.5748031496062968E-3</v>
      </c>
    </row>
    <row r="315" spans="1:3" ht="14.4" x14ac:dyDescent="0.3">
      <c r="A315" s="36" t="s">
        <v>134</v>
      </c>
      <c r="B315" s="150">
        <v>20.2</v>
      </c>
      <c r="C315" s="124">
        <v>1.3145051083490577E-3</v>
      </c>
    </row>
    <row r="316" spans="1:3" ht="14.4" x14ac:dyDescent="0.3">
      <c r="A316" s="36" t="s">
        <v>136</v>
      </c>
      <c r="B316" s="150">
        <v>22.2</v>
      </c>
      <c r="C316" s="124">
        <v>1.4446541289776771E-3</v>
      </c>
    </row>
    <row r="317" spans="1:3" ht="14.4" x14ac:dyDescent="0.3">
      <c r="A317" s="36" t="s">
        <v>128</v>
      </c>
      <c r="B317" s="150">
        <v>38.799999999999997</v>
      </c>
      <c r="C317" s="124">
        <v>2.5248910001952193E-3</v>
      </c>
    </row>
    <row r="318" spans="1:3" ht="14.4" x14ac:dyDescent="0.3">
      <c r="A318" s="36" t="s">
        <v>129</v>
      </c>
      <c r="B318" s="150">
        <v>16.2</v>
      </c>
      <c r="C318" s="124">
        <v>1.0542070670918184E-3</v>
      </c>
    </row>
    <row r="319" spans="1:3" ht="14.4" x14ac:dyDescent="0.3">
      <c r="A319" s="36" t="s">
        <v>130</v>
      </c>
      <c r="B319" s="150">
        <v>16.2</v>
      </c>
      <c r="C319" s="124">
        <v>1.0542070670918184E-3</v>
      </c>
    </row>
    <row r="320" spans="1:3" ht="14.4" x14ac:dyDescent="0.3">
      <c r="A320" s="36" t="s">
        <v>152</v>
      </c>
      <c r="B320" s="150">
        <v>38.200000000000003</v>
      </c>
      <c r="C320" s="124">
        <v>2.485846294006634E-3</v>
      </c>
    </row>
    <row r="321" spans="1:3" ht="14.4" x14ac:dyDescent="0.3">
      <c r="A321" s="36" t="s">
        <v>154</v>
      </c>
      <c r="B321" s="150">
        <v>40.200000000000003</v>
      </c>
      <c r="C321" s="124">
        <v>2.6159953146352535E-3</v>
      </c>
    </row>
    <row r="322" spans="1:3" ht="14.4" x14ac:dyDescent="0.3">
      <c r="A322" s="36" t="s">
        <v>142</v>
      </c>
      <c r="B322" s="150">
        <v>28.2</v>
      </c>
      <c r="C322" s="124">
        <v>1.8351011908635359E-3</v>
      </c>
    </row>
    <row r="323" spans="1:3" ht="14.4" x14ac:dyDescent="0.3">
      <c r="A323" s="36" t="s">
        <v>144</v>
      </c>
      <c r="B323" s="150">
        <v>30.2</v>
      </c>
      <c r="C323" s="124">
        <v>1.9652502114921554E-3</v>
      </c>
    </row>
    <row r="324" spans="1:3" ht="14.4" x14ac:dyDescent="0.3">
      <c r="A324" s="36" t="s">
        <v>140</v>
      </c>
      <c r="B324" s="150">
        <v>26.2</v>
      </c>
      <c r="C324" s="124">
        <v>1.7049521702349163E-3</v>
      </c>
    </row>
    <row r="325" spans="1:3" ht="14.4" x14ac:dyDescent="0.3">
      <c r="A325" s="36" t="s">
        <v>148</v>
      </c>
      <c r="B325" s="150">
        <v>34.200000000000003</v>
      </c>
      <c r="C325" s="124">
        <v>2.2255482527493947E-3</v>
      </c>
    </row>
    <row r="326" spans="1:3" ht="14.4" x14ac:dyDescent="0.3">
      <c r="A326" s="36" t="s">
        <v>150</v>
      </c>
      <c r="B326" s="150">
        <v>36.200000000000003</v>
      </c>
      <c r="C326" s="124">
        <v>2.3556972733780146E-3</v>
      </c>
    </row>
    <row r="327" spans="1:3" ht="14.4" x14ac:dyDescent="0.3">
      <c r="A327" s="36" t="s">
        <v>146</v>
      </c>
      <c r="B327" s="150">
        <v>32.200000000000003</v>
      </c>
      <c r="C327" s="124">
        <v>2.0953992321207753E-3</v>
      </c>
    </row>
    <row r="328" spans="1:3" ht="14.4" x14ac:dyDescent="0.3">
      <c r="A328" s="36" t="s">
        <v>169</v>
      </c>
      <c r="B328" s="150">
        <v>55.2</v>
      </c>
      <c r="C328" s="124">
        <v>3.5921129693499004E-3</v>
      </c>
    </row>
    <row r="329" spans="1:3" ht="14.4" x14ac:dyDescent="0.3">
      <c r="A329" s="36" t="s">
        <v>172</v>
      </c>
      <c r="B329" s="150">
        <v>58.2</v>
      </c>
      <c r="C329" s="124">
        <v>3.7873365002928298E-3</v>
      </c>
    </row>
    <row r="330" spans="1:3" ht="14.4" x14ac:dyDescent="0.3">
      <c r="A330" s="36" t="s">
        <v>175</v>
      </c>
      <c r="B330" s="150">
        <v>61.2</v>
      </c>
      <c r="C330" s="124">
        <v>3.9825600312357592E-3</v>
      </c>
    </row>
    <row r="331" spans="1:3" ht="14.4" x14ac:dyDescent="0.3">
      <c r="A331" s="36" t="s">
        <v>174</v>
      </c>
      <c r="B331" s="150">
        <v>60.2</v>
      </c>
      <c r="C331" s="124">
        <v>3.9174855209214493E-3</v>
      </c>
    </row>
    <row r="332" spans="1:3" ht="14.4" x14ac:dyDescent="0.3">
      <c r="A332" s="36" t="s">
        <v>132</v>
      </c>
      <c r="B332" s="150">
        <v>18.2</v>
      </c>
      <c r="C332" s="124">
        <v>1.184356087720438E-3</v>
      </c>
    </row>
    <row r="333" spans="1:3" ht="14.4" x14ac:dyDescent="0.3">
      <c r="A333" s="36" t="s">
        <v>133</v>
      </c>
      <c r="B333" s="150">
        <v>19.2</v>
      </c>
      <c r="C333" s="124">
        <v>1.2494305980347477E-3</v>
      </c>
    </row>
    <row r="334" spans="1:3" ht="14.4" x14ac:dyDescent="0.3">
      <c r="A334" s="36" t="s">
        <v>264</v>
      </c>
      <c r="B334" s="150">
        <v>150.19999999999999</v>
      </c>
      <c r="C334" s="124">
        <v>9.7741914492093292E-3</v>
      </c>
    </row>
    <row r="335" spans="1:3" ht="14.4" x14ac:dyDescent="0.3">
      <c r="A335" s="36" t="s">
        <v>268</v>
      </c>
      <c r="B335" s="150">
        <v>154.19999999999999</v>
      </c>
      <c r="C335" s="124">
        <v>1.0034489490466567E-2</v>
      </c>
    </row>
    <row r="336" spans="1:3" ht="14.4" x14ac:dyDescent="0.3">
      <c r="A336" s="36" t="s">
        <v>266</v>
      </c>
      <c r="B336" s="150">
        <v>152.19999999999999</v>
      </c>
      <c r="C336" s="124">
        <v>9.9043404698379491E-3</v>
      </c>
    </row>
    <row r="337" spans="1:3" ht="14.4" x14ac:dyDescent="0.3">
      <c r="A337" s="36" t="s">
        <v>267</v>
      </c>
      <c r="B337" s="150">
        <v>153.19999999999999</v>
      </c>
      <c r="C337" s="124">
        <v>9.9694149801522591E-3</v>
      </c>
    </row>
    <row r="338" spans="1:3" ht="14.4" x14ac:dyDescent="0.3">
      <c r="A338" s="36" t="s">
        <v>276</v>
      </c>
      <c r="B338" s="150">
        <v>162.19999999999999</v>
      </c>
      <c r="C338" s="124">
        <v>1.0555085572981047E-2</v>
      </c>
    </row>
    <row r="339" spans="1:3" ht="14.4" x14ac:dyDescent="0.3">
      <c r="A339" s="36" t="s">
        <v>279</v>
      </c>
      <c r="B339" s="150">
        <v>165.2</v>
      </c>
      <c r="C339" s="124">
        <v>1.0750309103923975E-2</v>
      </c>
    </row>
    <row r="340" spans="1:3" ht="14.4" x14ac:dyDescent="0.3">
      <c r="A340" s="36" t="s">
        <v>278</v>
      </c>
      <c r="B340" s="150">
        <v>164.2</v>
      </c>
      <c r="C340" s="124">
        <v>1.0685234593609667E-2</v>
      </c>
    </row>
    <row r="341" spans="1:3" ht="14.4" x14ac:dyDescent="0.3">
      <c r="A341" s="36" t="s">
        <v>271</v>
      </c>
      <c r="B341" s="150">
        <v>157.19999999999999</v>
      </c>
      <c r="C341" s="124">
        <v>1.0229713021409497E-2</v>
      </c>
    </row>
    <row r="342" spans="1:3" ht="14.4" x14ac:dyDescent="0.3">
      <c r="A342" s="36" t="s">
        <v>273</v>
      </c>
      <c r="B342" s="150">
        <v>159.19999999999999</v>
      </c>
      <c r="C342" s="124">
        <v>1.0359862042038117E-2</v>
      </c>
    </row>
    <row r="343" spans="1:3" ht="14.4" x14ac:dyDescent="0.3">
      <c r="A343" s="36" t="s">
        <v>272</v>
      </c>
      <c r="B343" s="150">
        <v>158.19999999999999</v>
      </c>
      <c r="C343" s="124">
        <v>1.0294787531723807E-2</v>
      </c>
    </row>
    <row r="344" spans="1:3" ht="14.4" x14ac:dyDescent="0.3">
      <c r="A344" s="36" t="s">
        <v>270</v>
      </c>
      <c r="B344" s="150">
        <v>156.19999999999999</v>
      </c>
      <c r="C344" s="124">
        <v>1.0164638511095187E-2</v>
      </c>
    </row>
    <row r="345" spans="1:3" ht="14.4" x14ac:dyDescent="0.3">
      <c r="A345" s="36" t="s">
        <v>269</v>
      </c>
      <c r="B345" s="150">
        <v>155.19999999999999</v>
      </c>
      <c r="C345" s="124">
        <v>1.0099564000780877E-2</v>
      </c>
    </row>
    <row r="346" spans="1:3" ht="14.4" x14ac:dyDescent="0.3">
      <c r="A346" s="36" t="s">
        <v>275</v>
      </c>
      <c r="B346" s="150">
        <v>161.19999999999999</v>
      </c>
      <c r="C346" s="124">
        <v>1.0490011062666737E-2</v>
      </c>
    </row>
    <row r="347" spans="1:3" ht="14.4" x14ac:dyDescent="0.3">
      <c r="A347" s="36" t="s">
        <v>274</v>
      </c>
      <c r="B347" s="150">
        <v>160.19999999999999</v>
      </c>
      <c r="C347" s="124">
        <v>1.0424936552352427E-2</v>
      </c>
    </row>
    <row r="348" spans="1:3" ht="14.4" x14ac:dyDescent="0.3">
      <c r="A348" s="36" t="s">
        <v>239</v>
      </c>
      <c r="B348" s="150">
        <v>125.2</v>
      </c>
      <c r="C348" s="124">
        <v>8.1473286913515859E-3</v>
      </c>
    </row>
    <row r="349" spans="1:3" ht="14.4" x14ac:dyDescent="0.3">
      <c r="A349" s="36" t="s">
        <v>246</v>
      </c>
      <c r="B349" s="150">
        <v>132.19999999999999</v>
      </c>
      <c r="C349" s="124">
        <v>8.602850263551752E-3</v>
      </c>
    </row>
    <row r="350" spans="1:3" ht="14.4" x14ac:dyDescent="0.3">
      <c r="A350" s="36" t="s">
        <v>242</v>
      </c>
      <c r="B350" s="150">
        <v>128.19999999999999</v>
      </c>
      <c r="C350" s="124">
        <v>8.342552222294514E-3</v>
      </c>
    </row>
    <row r="351" spans="1:3" ht="14.4" x14ac:dyDescent="0.3">
      <c r="A351" s="36" t="s">
        <v>244</v>
      </c>
      <c r="B351" s="150">
        <v>130.19999999999999</v>
      </c>
      <c r="C351" s="124">
        <v>8.4727012429231339E-3</v>
      </c>
    </row>
    <row r="352" spans="1:3" ht="14.4" x14ac:dyDescent="0.3">
      <c r="A352" s="36" t="s">
        <v>236</v>
      </c>
      <c r="B352" s="150">
        <v>122.2</v>
      </c>
      <c r="C352" s="124">
        <v>7.9521051604086561E-3</v>
      </c>
    </row>
    <row r="353" spans="1:3" ht="14.4" x14ac:dyDescent="0.3">
      <c r="A353" s="36" t="s">
        <v>237</v>
      </c>
      <c r="B353" s="150">
        <v>123.2</v>
      </c>
      <c r="C353" s="124">
        <v>8.017179670722966E-3</v>
      </c>
    </row>
    <row r="354" spans="1:3" ht="14.4" x14ac:dyDescent="0.3">
      <c r="A354" s="36" t="s">
        <v>238</v>
      </c>
      <c r="B354" s="150">
        <v>124.2</v>
      </c>
      <c r="C354" s="124">
        <v>8.082254181037276E-3</v>
      </c>
    </row>
    <row r="355" spans="1:3" ht="14.4" x14ac:dyDescent="0.3">
      <c r="A355" s="36" t="s">
        <v>260</v>
      </c>
      <c r="B355" s="150">
        <v>146.19999999999999</v>
      </c>
      <c r="C355" s="124">
        <v>9.5138934079520895E-3</v>
      </c>
    </row>
    <row r="356" spans="1:3" ht="14.4" x14ac:dyDescent="0.3">
      <c r="A356" s="36" t="s">
        <v>262</v>
      </c>
      <c r="B356" s="150">
        <v>148.19999999999999</v>
      </c>
      <c r="C356" s="124">
        <v>9.6440424285807094E-3</v>
      </c>
    </row>
    <row r="357" spans="1:3" ht="14.4" x14ac:dyDescent="0.3">
      <c r="A357" s="36" t="s">
        <v>250</v>
      </c>
      <c r="B357" s="150">
        <v>136.19999999999999</v>
      </c>
      <c r="C357" s="124">
        <v>8.8631483048089918E-3</v>
      </c>
    </row>
    <row r="358" spans="1:3" ht="14.4" x14ac:dyDescent="0.3">
      <c r="A358" s="36" t="s">
        <v>252</v>
      </c>
      <c r="B358" s="150">
        <v>138.19999999999999</v>
      </c>
      <c r="C358" s="124">
        <v>8.9932973254376117E-3</v>
      </c>
    </row>
    <row r="359" spans="1:3" ht="14.4" x14ac:dyDescent="0.3">
      <c r="A359" s="36" t="s">
        <v>248</v>
      </c>
      <c r="B359" s="150">
        <v>134.19999999999999</v>
      </c>
      <c r="C359" s="124">
        <v>8.7329992841803719E-3</v>
      </c>
    </row>
    <row r="360" spans="1:3" ht="14.4" x14ac:dyDescent="0.3">
      <c r="A360" s="36" t="s">
        <v>256</v>
      </c>
      <c r="B360" s="150">
        <v>142.19999999999999</v>
      </c>
      <c r="C360" s="124">
        <v>9.2535953666948514E-3</v>
      </c>
    </row>
    <row r="361" spans="1:3" ht="14.4" x14ac:dyDescent="0.3">
      <c r="A361" s="36" t="s">
        <v>258</v>
      </c>
      <c r="B361" s="150">
        <v>144.19999999999999</v>
      </c>
      <c r="C361" s="124">
        <v>9.3837443873234696E-3</v>
      </c>
    </row>
    <row r="362" spans="1:3" ht="14.4" x14ac:dyDescent="0.3">
      <c r="A362" s="36" t="s">
        <v>254</v>
      </c>
      <c r="B362" s="150">
        <v>140.19999999999999</v>
      </c>
      <c r="C362" s="124">
        <v>9.1234463460662316E-3</v>
      </c>
    </row>
    <row r="363" spans="1:3" ht="14.4" x14ac:dyDescent="0.3">
      <c r="A363" s="36" t="s">
        <v>277</v>
      </c>
      <c r="B363" s="150">
        <v>163.19999999999999</v>
      </c>
      <c r="C363" s="124">
        <v>1.0620160083295357E-2</v>
      </c>
    </row>
    <row r="364" spans="1:3" ht="14.4" x14ac:dyDescent="0.3">
      <c r="A364" s="36" t="s">
        <v>280</v>
      </c>
      <c r="B364" s="150">
        <v>166.2</v>
      </c>
      <c r="C364" s="124">
        <v>1.0815383614238285E-2</v>
      </c>
    </row>
    <row r="365" spans="1:3" ht="14.4" x14ac:dyDescent="0.3">
      <c r="A365" s="36" t="s">
        <v>283</v>
      </c>
      <c r="B365" s="150">
        <v>169.2</v>
      </c>
      <c r="C365" s="124">
        <v>1.1010607145181215E-2</v>
      </c>
    </row>
    <row r="366" spans="1:3" ht="14.4" x14ac:dyDescent="0.3">
      <c r="A366" s="36" t="s">
        <v>282</v>
      </c>
      <c r="B366" s="150">
        <v>168.2</v>
      </c>
      <c r="C366" s="124">
        <v>1.0945532634866905E-2</v>
      </c>
    </row>
    <row r="367" spans="1:3" ht="14.4" x14ac:dyDescent="0.3">
      <c r="A367" s="36" t="s">
        <v>240</v>
      </c>
      <c r="B367" s="150">
        <v>126.2</v>
      </c>
      <c r="C367" s="124">
        <v>8.2124032016658959E-3</v>
      </c>
    </row>
    <row r="368" spans="1:3" ht="14.4" x14ac:dyDescent="0.3">
      <c r="A368" s="36" t="s">
        <v>241</v>
      </c>
      <c r="B368" s="150">
        <v>127.19999999999999</v>
      </c>
      <c r="C368" s="124">
        <v>8.2774777119802041E-3</v>
      </c>
    </row>
    <row r="369" spans="1:3" ht="14.4" x14ac:dyDescent="0.3">
      <c r="A369" s="35" t="s">
        <v>105</v>
      </c>
      <c r="B369" s="150"/>
      <c r="C369" s="124"/>
    </row>
    <row r="370" spans="1:3" ht="14.4" x14ac:dyDescent="0.3">
      <c r="A370" s="36" t="s">
        <v>211</v>
      </c>
      <c r="B370" s="150">
        <v>97.2</v>
      </c>
      <c r="C370" s="124">
        <v>6.325242402550911E-3</v>
      </c>
    </row>
    <row r="371" spans="1:3" ht="14.4" x14ac:dyDescent="0.3">
      <c r="A371" s="36" t="s">
        <v>193</v>
      </c>
      <c r="B371" s="150">
        <v>79.2</v>
      </c>
      <c r="C371" s="124">
        <v>5.1539012168933356E-3</v>
      </c>
    </row>
    <row r="372" spans="1:3" ht="14.4" x14ac:dyDescent="0.3">
      <c r="A372" s="36" t="s">
        <v>189</v>
      </c>
      <c r="B372" s="150">
        <v>75.2</v>
      </c>
      <c r="C372" s="124">
        <v>4.8936031756360958E-3</v>
      </c>
    </row>
    <row r="373" spans="1:3" ht="14.4" x14ac:dyDescent="0.3">
      <c r="A373" s="36" t="s">
        <v>191</v>
      </c>
      <c r="B373" s="150">
        <v>77.2</v>
      </c>
      <c r="C373" s="124">
        <v>5.0237521962647157E-3</v>
      </c>
    </row>
    <row r="374" spans="1:3" ht="14.4" x14ac:dyDescent="0.3">
      <c r="A374" s="36" t="s">
        <v>233</v>
      </c>
      <c r="B374" s="150">
        <v>119.2</v>
      </c>
      <c r="C374" s="124">
        <v>7.7568816294657263E-3</v>
      </c>
    </row>
    <row r="375" spans="1:3" ht="14.4" x14ac:dyDescent="0.3">
      <c r="A375" s="36" t="s">
        <v>232</v>
      </c>
      <c r="B375" s="150">
        <v>118.2</v>
      </c>
      <c r="C375" s="124">
        <v>7.6918071191514163E-3</v>
      </c>
    </row>
    <row r="376" spans="1:3" ht="14.4" x14ac:dyDescent="0.3">
      <c r="A376" s="36" t="s">
        <v>234</v>
      </c>
      <c r="B376" s="150">
        <v>120.2</v>
      </c>
      <c r="C376" s="124">
        <v>7.8219561397800362E-3</v>
      </c>
    </row>
    <row r="377" spans="1:3" ht="14.4" x14ac:dyDescent="0.3">
      <c r="A377" s="36" t="s">
        <v>231</v>
      </c>
      <c r="B377" s="150">
        <v>117.2</v>
      </c>
      <c r="C377" s="124">
        <v>7.6267326088371072E-3</v>
      </c>
    </row>
    <row r="378" spans="1:3" ht="14.4" x14ac:dyDescent="0.3">
      <c r="A378" s="36" t="s">
        <v>230</v>
      </c>
      <c r="B378" s="150">
        <v>116.2</v>
      </c>
      <c r="C378" s="124">
        <v>7.5616580985227973E-3</v>
      </c>
    </row>
    <row r="379" spans="1:3" ht="14.4" x14ac:dyDescent="0.3">
      <c r="A379" s="36" t="s">
        <v>235</v>
      </c>
      <c r="B379" s="150">
        <v>121.2</v>
      </c>
      <c r="C379" s="124">
        <v>7.8870306500943461E-3</v>
      </c>
    </row>
    <row r="380" spans="1:3" ht="14.4" x14ac:dyDescent="0.3">
      <c r="A380" s="36" t="s">
        <v>207</v>
      </c>
      <c r="B380" s="150">
        <v>93.2</v>
      </c>
      <c r="C380" s="124">
        <v>6.0649443612936721E-3</v>
      </c>
    </row>
    <row r="381" spans="1:3" ht="14.4" x14ac:dyDescent="0.3">
      <c r="A381" s="36" t="s">
        <v>209</v>
      </c>
      <c r="B381" s="150">
        <v>95.2</v>
      </c>
      <c r="C381" s="124">
        <v>6.195093381922292E-3</v>
      </c>
    </row>
    <row r="382" spans="1:3" ht="14.4" x14ac:dyDescent="0.3">
      <c r="A382" s="36" t="s">
        <v>197</v>
      </c>
      <c r="B382" s="150">
        <v>83.2</v>
      </c>
      <c r="C382" s="124">
        <v>5.4141992581505744E-3</v>
      </c>
    </row>
    <row r="383" spans="1:3" ht="14.4" x14ac:dyDescent="0.3">
      <c r="A383" s="36" t="s">
        <v>199</v>
      </c>
      <c r="B383" s="150">
        <v>85.2</v>
      </c>
      <c r="C383" s="124">
        <v>5.5443482787791935E-3</v>
      </c>
    </row>
    <row r="384" spans="1:3" ht="14.4" x14ac:dyDescent="0.3">
      <c r="A384" s="36" t="s">
        <v>195</v>
      </c>
      <c r="B384" s="150">
        <v>81.2</v>
      </c>
      <c r="C384" s="124">
        <v>5.2840502375219546E-3</v>
      </c>
    </row>
    <row r="385" spans="1:3" ht="14.4" x14ac:dyDescent="0.3">
      <c r="A385" s="36" t="s">
        <v>203</v>
      </c>
      <c r="B385" s="150">
        <v>89.2</v>
      </c>
      <c r="C385" s="124">
        <v>5.8046463200364332E-3</v>
      </c>
    </row>
    <row r="386" spans="1:3" ht="14.4" x14ac:dyDescent="0.3">
      <c r="A386" s="36" t="s">
        <v>205</v>
      </c>
      <c r="B386" s="150">
        <v>91.2</v>
      </c>
      <c r="C386" s="124">
        <v>5.9347953406650522E-3</v>
      </c>
    </row>
    <row r="387" spans="1:3" ht="14.4" x14ac:dyDescent="0.3">
      <c r="A387" s="36" t="s">
        <v>201</v>
      </c>
      <c r="B387" s="150">
        <v>87.2</v>
      </c>
      <c r="C387" s="124">
        <v>5.6744972994078133E-3</v>
      </c>
    </row>
    <row r="388" spans="1:3" ht="14.4" x14ac:dyDescent="0.3">
      <c r="A388" s="36" t="s">
        <v>227</v>
      </c>
      <c r="B388" s="150">
        <v>113.2</v>
      </c>
      <c r="C388" s="124">
        <v>7.3664345675798675E-3</v>
      </c>
    </row>
    <row r="389" spans="1:3" ht="14.4" x14ac:dyDescent="0.3">
      <c r="A389" s="36" t="s">
        <v>157</v>
      </c>
      <c r="B389" s="150">
        <v>43.2</v>
      </c>
      <c r="C389" s="124">
        <v>2.8112188455781829E-3</v>
      </c>
    </row>
    <row r="390" spans="1:3" ht="14.4" x14ac:dyDescent="0.3">
      <c r="A390" s="36" t="s">
        <v>139</v>
      </c>
      <c r="B390" s="150">
        <v>25.2</v>
      </c>
      <c r="C390" s="124">
        <v>1.6398776599206065E-3</v>
      </c>
    </row>
    <row r="391" spans="1:3" ht="14.4" x14ac:dyDescent="0.3">
      <c r="A391" s="36" t="s">
        <v>135</v>
      </c>
      <c r="B391" s="150">
        <v>21.2</v>
      </c>
      <c r="C391" s="124">
        <v>1.3795796186633674E-3</v>
      </c>
    </row>
    <row r="392" spans="1:3" ht="14.4" x14ac:dyDescent="0.3">
      <c r="A392" s="36" t="s">
        <v>137</v>
      </c>
      <c r="B392" s="150">
        <v>23.2</v>
      </c>
      <c r="C392" s="124">
        <v>1.5097286392919869E-3</v>
      </c>
    </row>
    <row r="393" spans="1:3" ht="14.4" x14ac:dyDescent="0.3">
      <c r="A393" s="36" t="s">
        <v>179</v>
      </c>
      <c r="B393" s="150">
        <v>65.2</v>
      </c>
      <c r="C393" s="124">
        <v>4.2428580724929981E-3</v>
      </c>
    </row>
    <row r="394" spans="1:3" ht="14.4" x14ac:dyDescent="0.3">
      <c r="A394" s="36" t="s">
        <v>178</v>
      </c>
      <c r="B394" s="150">
        <v>64.2</v>
      </c>
      <c r="C394" s="124">
        <v>4.1777835621786882E-3</v>
      </c>
    </row>
    <row r="395" spans="1:3" ht="14.4" x14ac:dyDescent="0.3">
      <c r="A395" s="36" t="s">
        <v>180</v>
      </c>
      <c r="B395" s="150">
        <v>66.2</v>
      </c>
      <c r="C395" s="124">
        <v>4.3079325828073081E-3</v>
      </c>
    </row>
    <row r="396" spans="1:3" ht="14.4" x14ac:dyDescent="0.3">
      <c r="A396" s="36" t="s">
        <v>177</v>
      </c>
      <c r="B396" s="150">
        <v>63.2</v>
      </c>
      <c r="C396" s="124">
        <v>4.1127090518643782E-3</v>
      </c>
    </row>
    <row r="397" spans="1:3" ht="14.4" x14ac:dyDescent="0.3">
      <c r="A397" s="36" t="s">
        <v>176</v>
      </c>
      <c r="B397" s="150">
        <v>62.2</v>
      </c>
      <c r="C397" s="124">
        <v>4.0476345415500692E-3</v>
      </c>
    </row>
    <row r="398" spans="1:3" ht="14.4" x14ac:dyDescent="0.3">
      <c r="A398" s="36" t="s">
        <v>181</v>
      </c>
      <c r="B398" s="150">
        <v>67.2</v>
      </c>
      <c r="C398" s="124">
        <v>4.373007093121618E-3</v>
      </c>
    </row>
    <row r="399" spans="1:3" ht="14.4" x14ac:dyDescent="0.3">
      <c r="A399" s="36" t="s">
        <v>153</v>
      </c>
      <c r="B399" s="150">
        <v>39.200000000000003</v>
      </c>
      <c r="C399" s="124">
        <v>2.5509208043209435E-3</v>
      </c>
    </row>
    <row r="400" spans="1:3" ht="14.4" x14ac:dyDescent="0.3">
      <c r="A400" s="36" t="s">
        <v>155</v>
      </c>
      <c r="B400" s="150">
        <v>41.2</v>
      </c>
      <c r="C400" s="124">
        <v>2.6810698249495634E-3</v>
      </c>
    </row>
    <row r="401" spans="1:3" ht="14.4" x14ac:dyDescent="0.3">
      <c r="A401" s="36" t="s">
        <v>143</v>
      </c>
      <c r="B401" s="150">
        <v>29.2</v>
      </c>
      <c r="C401" s="124">
        <v>1.9001757011778456E-3</v>
      </c>
    </row>
    <row r="402" spans="1:3" ht="14.4" x14ac:dyDescent="0.3">
      <c r="A402" s="36" t="s">
        <v>145</v>
      </c>
      <c r="B402" s="150">
        <v>31.200000000000003</v>
      </c>
      <c r="C402" s="124">
        <v>2.0303247218064653E-3</v>
      </c>
    </row>
    <row r="403" spans="1:3" ht="14.4" x14ac:dyDescent="0.3">
      <c r="A403" s="36" t="s">
        <v>141</v>
      </c>
      <c r="B403" s="150">
        <v>27.2</v>
      </c>
      <c r="C403" s="124">
        <v>1.7700266805492262E-3</v>
      </c>
    </row>
    <row r="404" spans="1:3" ht="14.4" x14ac:dyDescent="0.3">
      <c r="A404" s="36" t="s">
        <v>149</v>
      </c>
      <c r="B404" s="150">
        <v>35.200000000000003</v>
      </c>
      <c r="C404" s="124">
        <v>2.2906227630637046E-3</v>
      </c>
    </row>
    <row r="405" spans="1:3" ht="14.4" x14ac:dyDescent="0.3">
      <c r="A405" s="36" t="s">
        <v>151</v>
      </c>
      <c r="B405" s="150">
        <v>37.200000000000003</v>
      </c>
      <c r="C405" s="124">
        <v>2.4207717836923241E-3</v>
      </c>
    </row>
    <row r="406" spans="1:3" ht="14.4" x14ac:dyDescent="0.3">
      <c r="A406" s="36" t="s">
        <v>147</v>
      </c>
      <c r="B406" s="150">
        <v>33.200000000000003</v>
      </c>
      <c r="C406" s="124">
        <v>2.1604737424350852E-3</v>
      </c>
    </row>
    <row r="407" spans="1:3" ht="14.4" x14ac:dyDescent="0.3">
      <c r="A407" s="36" t="s">
        <v>173</v>
      </c>
      <c r="B407" s="150">
        <v>59.2</v>
      </c>
      <c r="C407" s="124">
        <v>3.8524110106071393E-3</v>
      </c>
    </row>
    <row r="408" spans="1:3" ht="14.4" x14ac:dyDescent="0.3">
      <c r="A408" s="36" t="s">
        <v>265</v>
      </c>
      <c r="B408" s="150">
        <v>151.19999999999999</v>
      </c>
      <c r="C408" s="124">
        <v>9.8392659595236392E-3</v>
      </c>
    </row>
    <row r="409" spans="1:3" ht="14.4" x14ac:dyDescent="0.3">
      <c r="A409" s="36" t="s">
        <v>247</v>
      </c>
      <c r="B409" s="150">
        <v>133.19999999999999</v>
      </c>
      <c r="C409" s="124">
        <v>8.667924773866062E-3</v>
      </c>
    </row>
    <row r="410" spans="1:3" ht="14.4" x14ac:dyDescent="0.3">
      <c r="A410" s="36" t="s">
        <v>243</v>
      </c>
      <c r="B410" s="150">
        <v>129.19999999999999</v>
      </c>
      <c r="C410" s="124">
        <v>8.4076267326088239E-3</v>
      </c>
    </row>
    <row r="411" spans="1:3" ht="14.4" x14ac:dyDescent="0.3">
      <c r="A411" s="36" t="s">
        <v>245</v>
      </c>
      <c r="B411" s="150">
        <v>131.19999999999999</v>
      </c>
      <c r="C411" s="124">
        <v>8.5377757532374438E-3</v>
      </c>
    </row>
    <row r="412" spans="1:3" ht="14.4" x14ac:dyDescent="0.3">
      <c r="A412" s="36" t="s">
        <v>287</v>
      </c>
      <c r="B412" s="150">
        <v>173.2</v>
      </c>
      <c r="C412" s="124">
        <v>1.1270905186438454E-2</v>
      </c>
    </row>
    <row r="413" spans="1:3" ht="14.4" x14ac:dyDescent="0.3">
      <c r="A413" s="36" t="s">
        <v>286</v>
      </c>
      <c r="B413" s="150">
        <v>172.2</v>
      </c>
      <c r="C413" s="124">
        <v>1.1205830676124144E-2</v>
      </c>
    </row>
    <row r="414" spans="1:3" ht="14.4" x14ac:dyDescent="0.3">
      <c r="A414" s="36" t="s">
        <v>288</v>
      </c>
      <c r="B414" s="150">
        <v>174.2</v>
      </c>
      <c r="C414" s="124">
        <v>1.1335979696752764E-2</v>
      </c>
    </row>
    <row r="415" spans="1:3" ht="14.4" x14ac:dyDescent="0.3">
      <c r="A415" s="36" t="s">
        <v>285</v>
      </c>
      <c r="B415" s="150">
        <v>171.2</v>
      </c>
      <c r="C415" s="124">
        <v>1.1140756165809835E-2</v>
      </c>
    </row>
    <row r="416" spans="1:3" ht="14.4" x14ac:dyDescent="0.3">
      <c r="A416" s="36" t="s">
        <v>284</v>
      </c>
      <c r="B416" s="150">
        <v>170.2</v>
      </c>
      <c r="C416" s="124">
        <v>1.1075681655495525E-2</v>
      </c>
    </row>
    <row r="417" spans="1:3" ht="14.4" x14ac:dyDescent="0.3">
      <c r="A417" s="36" t="s">
        <v>289</v>
      </c>
      <c r="B417" s="150">
        <v>175.2</v>
      </c>
      <c r="C417" s="124">
        <v>1.1401054207067074E-2</v>
      </c>
    </row>
    <row r="418" spans="1:3" ht="14.4" x14ac:dyDescent="0.3">
      <c r="A418" s="36" t="s">
        <v>261</v>
      </c>
      <c r="B418" s="150">
        <v>147.19999999999999</v>
      </c>
      <c r="C418" s="124">
        <v>9.5789679182663994E-3</v>
      </c>
    </row>
    <row r="419" spans="1:3" ht="14.4" x14ac:dyDescent="0.3">
      <c r="A419" s="36" t="s">
        <v>263</v>
      </c>
      <c r="B419" s="150">
        <v>149.19999999999999</v>
      </c>
      <c r="C419" s="124">
        <v>9.7091169388950193E-3</v>
      </c>
    </row>
    <row r="420" spans="1:3" ht="14.4" x14ac:dyDescent="0.3">
      <c r="A420" s="36" t="s">
        <v>251</v>
      </c>
      <c r="B420" s="150">
        <v>137.19999999999999</v>
      </c>
      <c r="C420" s="124">
        <v>8.9282228151233017E-3</v>
      </c>
    </row>
    <row r="421" spans="1:3" ht="14.4" x14ac:dyDescent="0.3">
      <c r="A421" s="36" t="s">
        <v>253</v>
      </c>
      <c r="B421" s="150">
        <v>139.19999999999999</v>
      </c>
      <c r="C421" s="124">
        <v>9.0583718357519216E-3</v>
      </c>
    </row>
    <row r="422" spans="1:3" ht="14.4" x14ac:dyDescent="0.3">
      <c r="A422" s="36" t="s">
        <v>249</v>
      </c>
      <c r="B422" s="150">
        <v>135.19999999999999</v>
      </c>
      <c r="C422" s="124">
        <v>8.7980737944946819E-3</v>
      </c>
    </row>
    <row r="423" spans="1:3" ht="14.4" x14ac:dyDescent="0.3">
      <c r="A423" s="36" t="s">
        <v>257</v>
      </c>
      <c r="B423" s="150">
        <v>143.19999999999999</v>
      </c>
      <c r="C423" s="124">
        <v>9.3186698770091596E-3</v>
      </c>
    </row>
    <row r="424" spans="1:3" ht="14.4" x14ac:dyDescent="0.3">
      <c r="A424" s="36" t="s">
        <v>259</v>
      </c>
      <c r="B424" s="150">
        <v>145.19999999999999</v>
      </c>
      <c r="C424" s="124">
        <v>9.4488188976377795E-3</v>
      </c>
    </row>
    <row r="425" spans="1:3" ht="14.4" x14ac:dyDescent="0.3">
      <c r="A425" s="36" t="s">
        <v>255</v>
      </c>
      <c r="B425" s="150">
        <v>141.19999999999999</v>
      </c>
      <c r="C425" s="124">
        <v>9.1885208563805415E-3</v>
      </c>
    </row>
    <row r="426" spans="1:3" ht="14.4" x14ac:dyDescent="0.3">
      <c r="A426" s="36" t="s">
        <v>281</v>
      </c>
      <c r="B426" s="150">
        <v>167.2</v>
      </c>
      <c r="C426" s="124">
        <v>1.0880458124552595E-2</v>
      </c>
    </row>
    <row r="427" spans="1:3" ht="14.4" x14ac:dyDescent="0.3">
      <c r="A427" s="35" t="s">
        <v>100</v>
      </c>
      <c r="B427" s="150">
        <v>15367.000000000036</v>
      </c>
      <c r="C427" s="124">
        <v>0.99999999999999878</v>
      </c>
    </row>
  </sheetData>
  <autoFilter ref="A15:N177"/>
  <pageMargins left="0.7" right="0.7" top="0.75" bottom="0.75" header="0.3" footer="0.3"/>
  <pageSetup paperSize="9" orientation="portrait" r:id="rId5"/>
  <drawing r:id="rId6"/>
  <extLst>
    <ext xmlns:x14="http://schemas.microsoft.com/office/spreadsheetml/2009/9/main" uri="{CCE6A557-97BC-4b89-ADB6-D9C93CAAB3DF}">
      <x14:dataValidations xmlns:xm="http://schemas.microsoft.com/office/excel/2006/main" count="6">
        <x14:dataValidation type="list" allowBlank="1" showInputMessage="1" showErrorMessage="1">
          <x14:formula1>
            <xm:f>'LISTA DE RESIDUOS'!$A$3:$A$7</xm:f>
          </x14:formula1>
          <xm:sqref>B1</xm:sqref>
        </x14:dataValidation>
        <x14:dataValidation type="list" allowBlank="1" showInputMessage="1" showErrorMessage="1">
          <x14:formula1>
            <xm:f>'LISTA DE RESIDUOS'!$B$3:$B$11</xm:f>
          </x14:formula1>
          <xm:sqref>B2</xm:sqref>
        </x14:dataValidation>
        <x14:dataValidation type="list" allowBlank="1" showInputMessage="1" showErrorMessage="1">
          <x14:formula1>
            <xm:f>'LISTA DE RESIDUOS'!$C$3:$C$17</xm:f>
          </x14:formula1>
          <xm:sqref>B3</xm:sqref>
        </x14:dataValidation>
        <x14:dataValidation type="list" allowBlank="1" showInputMessage="1" showErrorMessage="1">
          <x14:formula1>
            <xm:f>'LISTA DE RESIDUOS'!$D$3:$D$4</xm:f>
          </x14:formula1>
          <xm:sqref>B4</xm:sqref>
        </x14:dataValidation>
        <x14:dataValidation type="list" allowBlank="1" showInputMessage="1" showErrorMessage="1">
          <x14:formula1>
            <xm:f>'LISTA DE RESIDUOS'!$F$3:$F$7</xm:f>
          </x14:formula1>
          <xm:sqref>B6</xm:sqref>
        </x14:dataValidation>
        <x14:dataValidation type="list" allowBlank="1" showInputMessage="1" showErrorMessage="1">
          <x14:formula1>
            <xm:f>'LISTA DE RESIDUOS'!$G$3:$G$4</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topLeftCell="A53" zoomScaleNormal="100" workbookViewId="0">
      <selection activeCell="I16" sqref="I16"/>
    </sheetView>
  </sheetViews>
  <sheetFormatPr baseColWidth="10" defaultRowHeight="24.75" customHeight="1" x14ac:dyDescent="0.3"/>
  <cols>
    <col min="1" max="1" width="15.6640625" customWidth="1"/>
    <col min="2" max="2" width="30.33203125" customWidth="1"/>
    <col min="3" max="3" width="39" customWidth="1"/>
    <col min="4" max="4" width="17.109375" style="117" customWidth="1"/>
    <col min="5" max="7" width="17.33203125" customWidth="1"/>
    <col min="8" max="8" width="19.5546875" customWidth="1"/>
    <col min="9" max="9" width="18.109375" customWidth="1"/>
    <col min="10" max="10" width="19.109375" customWidth="1"/>
    <col min="11" max="11" width="20.88671875" customWidth="1"/>
  </cols>
  <sheetData>
    <row r="1" spans="1:11" ht="24.75" customHeight="1" thickBot="1" x14ac:dyDescent="0.35">
      <c r="A1" s="181" t="s">
        <v>0</v>
      </c>
      <c r="B1" s="182"/>
      <c r="C1" s="182"/>
      <c r="D1" s="182"/>
      <c r="E1" s="182"/>
      <c r="F1" s="182"/>
      <c r="G1" s="182"/>
      <c r="H1" s="182"/>
      <c r="I1" s="182"/>
      <c r="J1" s="182"/>
      <c r="K1" s="183"/>
    </row>
    <row r="2" spans="1:11" ht="24.75" customHeight="1" thickBot="1" x14ac:dyDescent="0.35">
      <c r="A2" s="184" t="s">
        <v>1</v>
      </c>
      <c r="B2" s="185"/>
      <c r="C2" s="185"/>
      <c r="D2" s="185"/>
      <c r="E2" s="185"/>
      <c r="F2" s="185"/>
      <c r="G2" s="185"/>
      <c r="H2" s="185"/>
      <c r="I2" s="185"/>
      <c r="J2" s="185"/>
      <c r="K2" s="186"/>
    </row>
    <row r="3" spans="1:11" ht="24.75" customHeight="1" thickBot="1" x14ac:dyDescent="0.35">
      <c r="A3" s="178" t="s">
        <v>115</v>
      </c>
      <c r="B3" s="179"/>
      <c r="C3" s="180"/>
      <c r="D3" s="119"/>
      <c r="E3" s="120"/>
      <c r="F3" s="113"/>
      <c r="G3" s="113"/>
      <c r="H3" s="113"/>
      <c r="I3" s="113"/>
      <c r="J3" s="113"/>
      <c r="K3" s="114"/>
    </row>
    <row r="4" spans="1:11" ht="24.75" customHeight="1" thickBot="1" x14ac:dyDescent="0.35">
      <c r="A4" s="178" t="s">
        <v>2</v>
      </c>
      <c r="B4" s="179"/>
      <c r="C4" s="180"/>
      <c r="D4" s="119"/>
      <c r="E4" s="120"/>
      <c r="F4" s="21"/>
      <c r="G4" s="21"/>
      <c r="H4" s="187" t="s">
        <v>3</v>
      </c>
      <c r="I4" s="188"/>
      <c r="J4" s="189"/>
      <c r="K4" s="22"/>
    </row>
    <row r="5" spans="1:11" ht="24.75" customHeight="1" thickBot="1" x14ac:dyDescent="0.35">
      <c r="A5" s="178" t="s">
        <v>65</v>
      </c>
      <c r="B5" s="179"/>
      <c r="C5" s="180"/>
      <c r="D5" s="119"/>
      <c r="E5" s="120"/>
      <c r="F5" s="21"/>
      <c r="G5" s="21"/>
      <c r="H5" s="187" t="s">
        <v>4</v>
      </c>
      <c r="I5" s="188"/>
      <c r="J5" s="189"/>
      <c r="K5" s="22"/>
    </row>
    <row r="6" spans="1:11" ht="24.75" customHeight="1" thickBot="1" x14ac:dyDescent="0.35">
      <c r="A6" s="178" t="s">
        <v>5</v>
      </c>
      <c r="B6" s="179"/>
      <c r="C6" s="180"/>
      <c r="D6" s="119"/>
      <c r="E6" s="120"/>
      <c r="F6" s="21"/>
      <c r="G6" s="21"/>
      <c r="H6" s="178" t="s">
        <v>6</v>
      </c>
      <c r="I6" s="179"/>
      <c r="J6" s="180"/>
      <c r="K6" s="22"/>
    </row>
    <row r="7" spans="1:11" ht="24.75" customHeight="1" thickBot="1" x14ac:dyDescent="0.35">
      <c r="A7" s="178" t="s">
        <v>61</v>
      </c>
      <c r="B7" s="179"/>
      <c r="C7" s="23"/>
      <c r="D7" s="119"/>
      <c r="E7" s="120"/>
      <c r="F7" s="21"/>
      <c r="G7" s="21"/>
      <c r="H7" s="178" t="s">
        <v>8</v>
      </c>
      <c r="I7" s="179"/>
      <c r="J7" s="180"/>
      <c r="K7" s="22"/>
    </row>
    <row r="8" spans="1:11" ht="24.75" customHeight="1" thickBot="1" x14ac:dyDescent="0.35">
      <c r="A8" s="178" t="s">
        <v>7</v>
      </c>
      <c r="B8" s="179"/>
      <c r="C8" s="180"/>
      <c r="D8" s="119"/>
      <c r="E8" s="120"/>
      <c r="F8" s="21"/>
      <c r="G8" s="21"/>
      <c r="H8" s="178" t="s">
        <v>63</v>
      </c>
      <c r="I8" s="179"/>
      <c r="J8" s="180"/>
      <c r="K8" s="22"/>
    </row>
    <row r="9" spans="1:11" ht="24.75" customHeight="1" thickBot="1" x14ac:dyDescent="0.35">
      <c r="A9" s="178" t="s">
        <v>62</v>
      </c>
      <c r="B9" s="179"/>
      <c r="C9" s="180"/>
      <c r="D9" s="119"/>
      <c r="E9" s="120"/>
      <c r="F9" s="21"/>
      <c r="G9" s="21"/>
      <c r="H9" s="178" t="s">
        <v>64</v>
      </c>
      <c r="I9" s="179"/>
      <c r="J9" s="180"/>
      <c r="K9" s="22"/>
    </row>
    <row r="10" spans="1:11" ht="24.75" customHeight="1" thickBot="1" x14ac:dyDescent="0.35">
      <c r="A10" s="160" t="s">
        <v>9</v>
      </c>
      <c r="B10" s="161"/>
      <c r="C10" s="161"/>
      <c r="D10" s="161"/>
      <c r="E10" s="161"/>
      <c r="F10" s="161"/>
      <c r="G10" s="161"/>
      <c r="H10" s="161"/>
      <c r="I10" s="161"/>
      <c r="J10" s="161"/>
      <c r="K10" s="162"/>
    </row>
    <row r="11" spans="1:11" ht="24.75" customHeight="1" thickBot="1" x14ac:dyDescent="0.35">
      <c r="A11" s="163" t="s">
        <v>10</v>
      </c>
      <c r="B11" s="164"/>
      <c r="C11" s="164"/>
      <c r="D11" s="167" t="s">
        <v>11</v>
      </c>
      <c r="E11" s="168"/>
      <c r="F11" s="169" t="s">
        <v>82</v>
      </c>
      <c r="G11" s="170"/>
      <c r="H11" s="169" t="s">
        <v>90</v>
      </c>
      <c r="I11" s="170"/>
      <c r="J11" s="171" t="s">
        <v>83</v>
      </c>
      <c r="K11" s="172"/>
    </row>
    <row r="12" spans="1:11" ht="24.75" customHeight="1" thickBot="1" x14ac:dyDescent="0.35">
      <c r="A12" s="165"/>
      <c r="B12" s="166"/>
      <c r="C12" s="166"/>
      <c r="D12" s="115" t="s">
        <v>12</v>
      </c>
      <c r="E12" s="1" t="s">
        <v>13</v>
      </c>
      <c r="F12" s="20" t="s">
        <v>12</v>
      </c>
      <c r="G12" s="8" t="s">
        <v>13</v>
      </c>
      <c r="H12" s="20" t="s">
        <v>12</v>
      </c>
      <c r="I12" s="8" t="s">
        <v>13</v>
      </c>
      <c r="J12" s="20" t="s">
        <v>12</v>
      </c>
      <c r="K12" s="8" t="s">
        <v>13</v>
      </c>
    </row>
    <row r="13" spans="1:11" ht="24.75" customHeight="1" thickBot="1" x14ac:dyDescent="0.35">
      <c r="A13" s="173" t="s">
        <v>14</v>
      </c>
      <c r="B13" s="28" t="s">
        <v>15</v>
      </c>
      <c r="C13" s="28"/>
      <c r="D13" s="116">
        <f>'FICHA DE CARACTERIZACION A 3.1'!M16</f>
        <v>38.799999999999997</v>
      </c>
      <c r="E13" s="121">
        <f>D13/$D$67</f>
        <v>1.745075110191598E-2</v>
      </c>
      <c r="F13" s="116">
        <f>'FICHA DE CARACTERIZACION A 3.1'!M70</f>
        <v>68.2</v>
      </c>
      <c r="G13" s="121">
        <f>F13/$F$67</f>
        <v>1.3336462122100993E-2</v>
      </c>
      <c r="H13" s="116">
        <f>'FICHA DE CARACTERIZACION A 3.1'!M124</f>
        <v>122.2</v>
      </c>
      <c r="I13" s="121">
        <f>H13/$H$67</f>
        <v>1.5218311788587523E-2</v>
      </c>
      <c r="J13" s="116">
        <f>D13+F13+H13</f>
        <v>229.2</v>
      </c>
      <c r="K13" s="121">
        <f>J13/$J$67</f>
        <v>1.4915077764039813E-2</v>
      </c>
    </row>
    <row r="14" spans="1:11" ht="24.75" customHeight="1" thickBot="1" x14ac:dyDescent="0.35">
      <c r="A14" s="174"/>
      <c r="B14" s="28" t="s">
        <v>16</v>
      </c>
      <c r="C14" s="28"/>
      <c r="D14" s="116">
        <f>'FICHA DE CARACTERIZACION A 3.1'!M17</f>
        <v>16.2</v>
      </c>
      <c r="E14" s="121">
        <f t="shared" ref="E14:E66" si="0">D14/$D$67</f>
        <v>7.286138346676259E-3</v>
      </c>
      <c r="F14" s="116">
        <f>'FICHA DE CARACTERIZACION A 3.1'!M71</f>
        <v>69.2</v>
      </c>
      <c r="G14" s="121">
        <f t="shared" ref="G14:G66" si="1">F14/$F$67</f>
        <v>1.3532011420079013E-2</v>
      </c>
      <c r="H14" s="116">
        <f>'FICHA DE CARACTERIZACION A 3.1'!M125</f>
        <v>123.2</v>
      </c>
      <c r="I14" s="121">
        <f t="shared" ref="I14:I66" si="2">H14/$H$67</f>
        <v>1.5342847891603789E-2</v>
      </c>
      <c r="J14" s="116">
        <f t="shared" ref="J14:J66" si="3">D14+F14+H14</f>
        <v>208.60000000000002</v>
      </c>
      <c r="K14" s="121">
        <f t="shared" ref="K14:K66" si="4">J14/$J$67</f>
        <v>1.3574542851565032E-2</v>
      </c>
    </row>
    <row r="15" spans="1:11" ht="24.75" customHeight="1" thickBot="1" x14ac:dyDescent="0.35">
      <c r="A15" s="175"/>
      <c r="B15" s="29" t="s">
        <v>17</v>
      </c>
      <c r="C15" s="29"/>
      <c r="D15" s="116">
        <f>'FICHA DE CARACTERIZACION A 3.1'!M18</f>
        <v>16.2</v>
      </c>
      <c r="E15" s="121">
        <f t="shared" si="0"/>
        <v>7.286138346676259E-3</v>
      </c>
      <c r="F15" s="116">
        <f>'FICHA DE CARACTERIZACION A 3.1'!M72</f>
        <v>70.2</v>
      </c>
      <c r="G15" s="121">
        <f t="shared" si="1"/>
        <v>1.3727560718057034E-2</v>
      </c>
      <c r="H15" s="116">
        <f>'FICHA DE CARACTERIZACION A 3.1'!M126</f>
        <v>124.2</v>
      </c>
      <c r="I15" s="121">
        <f t="shared" si="2"/>
        <v>1.5467383994620052E-2</v>
      </c>
      <c r="J15" s="116">
        <f t="shared" si="3"/>
        <v>210.60000000000002</v>
      </c>
      <c r="K15" s="121">
        <f t="shared" si="4"/>
        <v>1.3704691872193652E-2</v>
      </c>
    </row>
    <row r="16" spans="1:11" ht="24.75" customHeight="1" thickBot="1" x14ac:dyDescent="0.35">
      <c r="A16" s="176" t="s">
        <v>18</v>
      </c>
      <c r="B16" s="176"/>
      <c r="C16" s="177"/>
      <c r="D16" s="116">
        <f>'FICHA DE CARACTERIZACION A 3.1'!M19</f>
        <v>17.2</v>
      </c>
      <c r="E16" s="121">
        <f t="shared" si="0"/>
        <v>7.7358999730143003E-3</v>
      </c>
      <c r="F16" s="116">
        <f>'FICHA DE CARACTERIZACION A 3.1'!M73</f>
        <v>71.2</v>
      </c>
      <c r="G16" s="121">
        <f t="shared" si="1"/>
        <v>1.3923110016035054E-2</v>
      </c>
      <c r="H16" s="116">
        <f>'FICHA DE CARACTERIZACION A 3.1'!M127</f>
        <v>125.2</v>
      </c>
      <c r="I16" s="121">
        <f t="shared" si="2"/>
        <v>1.5591920097636318E-2</v>
      </c>
      <c r="J16" s="116">
        <f t="shared" si="3"/>
        <v>213.60000000000002</v>
      </c>
      <c r="K16" s="121">
        <f t="shared" si="4"/>
        <v>1.3899915403136582E-2</v>
      </c>
    </row>
    <row r="17" spans="1:11" ht="24.75" customHeight="1" thickBot="1" x14ac:dyDescent="0.35">
      <c r="A17" s="156" t="s">
        <v>51</v>
      </c>
      <c r="B17" s="157"/>
      <c r="C17" s="14" t="s">
        <v>19</v>
      </c>
      <c r="D17" s="116">
        <f>'FICHA DE CARACTERIZACION A 3.1'!M20</f>
        <v>18.2</v>
      </c>
      <c r="E17" s="121">
        <f t="shared" si="0"/>
        <v>8.1856615993523407E-3</v>
      </c>
      <c r="F17" s="116">
        <f>'FICHA DE CARACTERIZACION A 3.1'!M74</f>
        <v>72.2</v>
      </c>
      <c r="G17" s="121">
        <f t="shared" si="1"/>
        <v>1.4118659314013075E-2</v>
      </c>
      <c r="H17" s="116">
        <f>'FICHA DE CARACTERIZACION A 3.1'!M128</f>
        <v>126.2</v>
      </c>
      <c r="I17" s="121">
        <f t="shared" si="2"/>
        <v>1.5716456200652582E-2</v>
      </c>
      <c r="J17" s="116">
        <f t="shared" si="3"/>
        <v>216.60000000000002</v>
      </c>
      <c r="K17" s="121">
        <f t="shared" si="4"/>
        <v>1.409513893407951E-2</v>
      </c>
    </row>
    <row r="18" spans="1:11" ht="24.75" customHeight="1" thickBot="1" x14ac:dyDescent="0.35">
      <c r="A18" s="158"/>
      <c r="B18" s="159"/>
      <c r="C18" s="15" t="s">
        <v>20</v>
      </c>
      <c r="D18" s="116">
        <f>'FICHA DE CARACTERIZACION A 3.1'!M21</f>
        <v>19.2</v>
      </c>
      <c r="E18" s="121">
        <f t="shared" si="0"/>
        <v>8.635423225690381E-3</v>
      </c>
      <c r="F18" s="116">
        <f>'FICHA DE CARACTERIZACION A 3.1'!M75</f>
        <v>73.2</v>
      </c>
      <c r="G18" s="121">
        <f t="shared" si="1"/>
        <v>1.4314208611991095E-2</v>
      </c>
      <c r="H18" s="116">
        <f>'FICHA DE CARACTERIZACION A 3.1'!M129</f>
        <v>127.19999999999999</v>
      </c>
      <c r="I18" s="121">
        <f t="shared" si="2"/>
        <v>1.5840992303668845E-2</v>
      </c>
      <c r="J18" s="116">
        <f t="shared" si="3"/>
        <v>219.6</v>
      </c>
      <c r="K18" s="121">
        <f t="shared" si="4"/>
        <v>1.4290362465022438E-2</v>
      </c>
    </row>
    <row r="19" spans="1:11" ht="24.75" customHeight="1" thickBot="1" x14ac:dyDescent="0.35">
      <c r="A19" s="152" t="s">
        <v>21</v>
      </c>
      <c r="B19" s="154" t="s">
        <v>22</v>
      </c>
      <c r="C19" s="14" t="s">
        <v>19</v>
      </c>
      <c r="D19" s="116">
        <f>'FICHA DE CARACTERIZACION A 3.1'!M22</f>
        <v>20.2</v>
      </c>
      <c r="E19" s="121">
        <f t="shared" si="0"/>
        <v>9.0851848520284231E-3</v>
      </c>
      <c r="F19" s="116">
        <f>'FICHA DE CARACTERIZACION A 3.1'!M76</f>
        <v>74.2</v>
      </c>
      <c r="G19" s="121">
        <f t="shared" si="1"/>
        <v>1.4509757909969116E-2</v>
      </c>
      <c r="H19" s="116">
        <f>'FICHA DE CARACTERIZACION A 3.1'!M130</f>
        <v>128.19999999999999</v>
      </c>
      <c r="I19" s="121">
        <f t="shared" si="2"/>
        <v>1.5965528406685109E-2</v>
      </c>
      <c r="J19" s="116">
        <f t="shared" si="3"/>
        <v>222.6</v>
      </c>
      <c r="K19" s="121">
        <f t="shared" si="4"/>
        <v>1.4485585995965368E-2</v>
      </c>
    </row>
    <row r="20" spans="1:11" ht="24.75" customHeight="1" thickBot="1" x14ac:dyDescent="0.35">
      <c r="A20" s="153"/>
      <c r="B20" s="155"/>
      <c r="C20" s="15" t="s">
        <v>20</v>
      </c>
      <c r="D20" s="116">
        <f>'FICHA DE CARACTERIZACION A 3.1'!M23</f>
        <v>21.2</v>
      </c>
      <c r="E20" s="121">
        <f t="shared" si="0"/>
        <v>9.5349464783664635E-3</v>
      </c>
      <c r="F20" s="116">
        <f>'FICHA DE CARACTERIZACION A 3.1'!M77</f>
        <v>75.2</v>
      </c>
      <c r="G20" s="121">
        <f t="shared" si="1"/>
        <v>1.4705307207947136E-2</v>
      </c>
      <c r="H20" s="116">
        <f>'FICHA DE CARACTERIZACION A 3.1'!M131</f>
        <v>129.19999999999999</v>
      </c>
      <c r="I20" s="121">
        <f t="shared" si="2"/>
        <v>1.6090064509701373E-2</v>
      </c>
      <c r="J20" s="116">
        <f t="shared" si="3"/>
        <v>225.6</v>
      </c>
      <c r="K20" s="121">
        <f t="shared" si="4"/>
        <v>1.4680809526908298E-2</v>
      </c>
    </row>
    <row r="21" spans="1:11" ht="24.75" customHeight="1" thickBot="1" x14ac:dyDescent="0.35">
      <c r="A21" s="152" t="s">
        <v>23</v>
      </c>
      <c r="B21" s="154" t="s">
        <v>24</v>
      </c>
      <c r="C21" s="14" t="s">
        <v>19</v>
      </c>
      <c r="D21" s="116">
        <f>'FICHA DE CARACTERIZACION A 3.1'!M24</f>
        <v>22.2</v>
      </c>
      <c r="E21" s="121">
        <f t="shared" si="0"/>
        <v>9.9847081047045039E-3</v>
      </c>
      <c r="F21" s="116">
        <f>'FICHA DE CARACTERIZACION A 3.1'!M78</f>
        <v>76.2</v>
      </c>
      <c r="G21" s="121">
        <f t="shared" si="1"/>
        <v>1.4900856505925156E-2</v>
      </c>
      <c r="H21" s="116">
        <f>'FICHA DE CARACTERIZACION A 3.1'!M132</f>
        <v>130.19999999999999</v>
      </c>
      <c r="I21" s="121">
        <f t="shared" si="2"/>
        <v>1.6214600612717636E-2</v>
      </c>
      <c r="J21" s="116">
        <f t="shared" si="3"/>
        <v>228.6</v>
      </c>
      <c r="K21" s="121">
        <f t="shared" si="4"/>
        <v>1.4876033057851228E-2</v>
      </c>
    </row>
    <row r="22" spans="1:11" ht="24.75" customHeight="1" thickBot="1" x14ac:dyDescent="0.35">
      <c r="A22" s="153"/>
      <c r="B22" s="155"/>
      <c r="C22" s="15" t="s">
        <v>20</v>
      </c>
      <c r="D22" s="116">
        <f>'FICHA DE CARACTERIZACION A 3.1'!M25</f>
        <v>23.2</v>
      </c>
      <c r="E22" s="121">
        <f t="shared" si="0"/>
        <v>1.0434469731042544E-2</v>
      </c>
      <c r="F22" s="116">
        <f>'FICHA DE CARACTERIZACION A 3.1'!M79</f>
        <v>77.2</v>
      </c>
      <c r="G22" s="121">
        <f t="shared" si="1"/>
        <v>1.5096405803903177E-2</v>
      </c>
      <c r="H22" s="116">
        <f>'FICHA DE CARACTERIZACION A 3.1'!M133</f>
        <v>131.19999999999999</v>
      </c>
      <c r="I22" s="121">
        <f t="shared" si="2"/>
        <v>1.6339136715733903E-2</v>
      </c>
      <c r="J22" s="116">
        <f t="shared" si="3"/>
        <v>231.6</v>
      </c>
      <c r="K22" s="121">
        <f t="shared" si="4"/>
        <v>1.5071256588794156E-2</v>
      </c>
    </row>
    <row r="23" spans="1:11" ht="24.75" customHeight="1" thickBot="1" x14ac:dyDescent="0.35">
      <c r="A23" s="173" t="s">
        <v>25</v>
      </c>
      <c r="B23" s="190"/>
      <c r="C23" s="14" t="s">
        <v>19</v>
      </c>
      <c r="D23" s="116">
        <f>'FICHA DE CARACTERIZACION A 3.1'!M26</f>
        <v>24.2</v>
      </c>
      <c r="E23" s="121">
        <f t="shared" si="0"/>
        <v>1.0884231357380585E-2</v>
      </c>
      <c r="F23" s="116">
        <f>'FICHA DE CARACTERIZACION A 3.1'!M80</f>
        <v>78.2</v>
      </c>
      <c r="G23" s="121">
        <f t="shared" si="1"/>
        <v>1.5291955101881197E-2</v>
      </c>
      <c r="H23" s="116">
        <f>'FICHA DE CARACTERIZACION A 3.1'!M134</f>
        <v>132.19999999999999</v>
      </c>
      <c r="I23" s="121">
        <f t="shared" si="2"/>
        <v>1.6463672818750167E-2</v>
      </c>
      <c r="J23" s="116">
        <f t="shared" si="3"/>
        <v>234.6</v>
      </c>
      <c r="K23" s="121">
        <f t="shared" si="4"/>
        <v>1.5266480119737086E-2</v>
      </c>
    </row>
    <row r="24" spans="1:11" ht="24.75" customHeight="1" thickBot="1" x14ac:dyDescent="0.35">
      <c r="A24" s="191"/>
      <c r="B24" s="192"/>
      <c r="C24" s="15" t="s">
        <v>20</v>
      </c>
      <c r="D24" s="116">
        <f>'FICHA DE CARACTERIZACION A 3.1'!M27</f>
        <v>25.2</v>
      </c>
      <c r="E24" s="121">
        <f t="shared" si="0"/>
        <v>1.1333992983718627E-2</v>
      </c>
      <c r="F24" s="116">
        <f>'FICHA DE CARACTERIZACION A 3.1'!M81</f>
        <v>79.2</v>
      </c>
      <c r="G24" s="121">
        <f t="shared" si="1"/>
        <v>1.5487504399859218E-2</v>
      </c>
      <c r="H24" s="116">
        <f>'FICHA DE CARACTERIZACION A 3.1'!M135</f>
        <v>133.19999999999999</v>
      </c>
      <c r="I24" s="121">
        <f t="shared" si="2"/>
        <v>1.6588208921766431E-2</v>
      </c>
      <c r="J24" s="116">
        <f t="shared" si="3"/>
        <v>237.6</v>
      </c>
      <c r="K24" s="121">
        <f t="shared" si="4"/>
        <v>1.5461703650680015E-2</v>
      </c>
    </row>
    <row r="25" spans="1:11" ht="24.75" customHeight="1" thickBot="1" x14ac:dyDescent="0.35">
      <c r="A25" s="200" t="s">
        <v>26</v>
      </c>
      <c r="B25" s="2" t="s">
        <v>27</v>
      </c>
      <c r="C25" s="14" t="s">
        <v>19</v>
      </c>
      <c r="D25" s="116">
        <f>'FICHA DE CARACTERIZACION A 3.1'!M28</f>
        <v>26.2</v>
      </c>
      <c r="E25" s="121">
        <f t="shared" si="0"/>
        <v>1.1783754610056667E-2</v>
      </c>
      <c r="F25" s="116">
        <f>'FICHA DE CARACTERIZACION A 3.1'!M82</f>
        <v>80.2</v>
      </c>
      <c r="G25" s="121">
        <f t="shared" si="1"/>
        <v>1.5683053697837238E-2</v>
      </c>
      <c r="H25" s="116">
        <f>'FICHA DE CARACTERIZACION A 3.1'!M136</f>
        <v>134.19999999999999</v>
      </c>
      <c r="I25" s="121">
        <f t="shared" si="2"/>
        <v>1.6712745024782694E-2</v>
      </c>
      <c r="J25" s="116">
        <f t="shared" si="3"/>
        <v>240.6</v>
      </c>
      <c r="K25" s="121">
        <f t="shared" si="4"/>
        <v>1.5656927181622943E-2</v>
      </c>
    </row>
    <row r="26" spans="1:11" ht="24.75" customHeight="1" thickBot="1" x14ac:dyDescent="0.35">
      <c r="A26" s="201"/>
      <c r="B26" s="3"/>
      <c r="C26" s="15" t="s">
        <v>20</v>
      </c>
      <c r="D26" s="116">
        <f>'FICHA DE CARACTERIZACION A 3.1'!M29</f>
        <v>27.2</v>
      </c>
      <c r="E26" s="121">
        <f t="shared" si="0"/>
        <v>1.2233516236394707E-2</v>
      </c>
      <c r="F26" s="116">
        <f>'FICHA DE CARACTERIZACION A 3.1'!M83</f>
        <v>81.2</v>
      </c>
      <c r="G26" s="121">
        <f t="shared" si="1"/>
        <v>1.5878602995815259E-2</v>
      </c>
      <c r="H26" s="116">
        <f>'FICHA DE CARACTERIZACION A 3.1'!M137</f>
        <v>135.19999999999999</v>
      </c>
      <c r="I26" s="121">
        <f t="shared" si="2"/>
        <v>1.6837281127798961E-2</v>
      </c>
      <c r="J26" s="116">
        <f t="shared" si="3"/>
        <v>243.6</v>
      </c>
      <c r="K26" s="121">
        <f t="shared" si="4"/>
        <v>1.5852150712565873E-2</v>
      </c>
    </row>
    <row r="27" spans="1:11" ht="24.75" customHeight="1" thickBot="1" x14ac:dyDescent="0.35">
      <c r="A27" s="201"/>
      <c r="B27" s="4" t="s">
        <v>59</v>
      </c>
      <c r="C27" s="14" t="s">
        <v>19</v>
      </c>
      <c r="D27" s="116">
        <f>'FICHA DE CARACTERIZACION A 3.1'!M30</f>
        <v>28.2</v>
      </c>
      <c r="E27" s="121">
        <f t="shared" si="0"/>
        <v>1.2683277862732748E-2</v>
      </c>
      <c r="F27" s="116">
        <f>'FICHA DE CARACTERIZACION A 3.1'!M84</f>
        <v>82.2</v>
      </c>
      <c r="G27" s="121">
        <f t="shared" si="1"/>
        <v>1.6074152293793279E-2</v>
      </c>
      <c r="H27" s="116">
        <f>'FICHA DE CARACTERIZACION A 3.1'!M138</f>
        <v>136.19999999999999</v>
      </c>
      <c r="I27" s="121">
        <f t="shared" si="2"/>
        <v>1.6961817230815225E-2</v>
      </c>
      <c r="J27" s="116">
        <f t="shared" si="3"/>
        <v>246.6</v>
      </c>
      <c r="K27" s="121">
        <f t="shared" si="4"/>
        <v>1.6047374243508803E-2</v>
      </c>
    </row>
    <row r="28" spans="1:11" ht="24.75" customHeight="1" thickBot="1" x14ac:dyDescent="0.35">
      <c r="A28" s="201"/>
      <c r="B28" s="3"/>
      <c r="C28" s="15" t="s">
        <v>20</v>
      </c>
      <c r="D28" s="116">
        <f>'FICHA DE CARACTERIZACION A 3.1'!M31</f>
        <v>29.2</v>
      </c>
      <c r="E28" s="121">
        <f t="shared" si="0"/>
        <v>1.3133039489070788E-2</v>
      </c>
      <c r="F28" s="116">
        <f>'FICHA DE CARACTERIZACION A 3.1'!M85</f>
        <v>83.2</v>
      </c>
      <c r="G28" s="121">
        <f t="shared" si="1"/>
        <v>1.62697015917713E-2</v>
      </c>
      <c r="H28" s="116">
        <f>'FICHA DE CARACTERIZACION A 3.1'!M139</f>
        <v>137.19999999999999</v>
      </c>
      <c r="I28" s="121">
        <f t="shared" si="2"/>
        <v>1.7086353333831489E-2</v>
      </c>
      <c r="J28" s="116">
        <f t="shared" si="3"/>
        <v>249.6</v>
      </c>
      <c r="K28" s="121">
        <f t="shared" si="4"/>
        <v>1.6242597774451733E-2</v>
      </c>
    </row>
    <row r="29" spans="1:11" ht="24.75" customHeight="1" thickBot="1" x14ac:dyDescent="0.35">
      <c r="A29" s="201"/>
      <c r="B29" s="4" t="s">
        <v>60</v>
      </c>
      <c r="C29" s="14" t="s">
        <v>52</v>
      </c>
      <c r="D29" s="116">
        <f>'FICHA DE CARACTERIZACION A 3.1'!M32</f>
        <v>30.2</v>
      </c>
      <c r="E29" s="121">
        <f t="shared" si="0"/>
        <v>1.358280111540883E-2</v>
      </c>
      <c r="F29" s="116">
        <f>'FICHA DE CARACTERIZACION A 3.1'!M86</f>
        <v>84.2</v>
      </c>
      <c r="G29" s="121">
        <f t="shared" si="1"/>
        <v>1.646525088974932E-2</v>
      </c>
      <c r="H29" s="116">
        <f>'FICHA DE CARACTERIZACION A 3.1'!M140</f>
        <v>138.19999999999999</v>
      </c>
      <c r="I29" s="121">
        <f t="shared" si="2"/>
        <v>1.7210889436847752E-2</v>
      </c>
      <c r="J29" s="116">
        <f t="shared" si="3"/>
        <v>252.6</v>
      </c>
      <c r="K29" s="121">
        <f t="shared" si="4"/>
        <v>1.6437821305394663E-2</v>
      </c>
    </row>
    <row r="30" spans="1:11" ht="24.75" customHeight="1" thickBot="1" x14ac:dyDescent="0.35">
      <c r="A30" s="201"/>
      <c r="B30" s="3"/>
      <c r="C30" s="17" t="s">
        <v>28</v>
      </c>
      <c r="D30" s="116">
        <f>'FICHA DE CARACTERIZACION A 3.1'!M33</f>
        <v>31.200000000000003</v>
      </c>
      <c r="E30" s="121">
        <f t="shared" si="0"/>
        <v>1.4032562741746872E-2</v>
      </c>
      <c r="F30" s="116">
        <f>'FICHA DE CARACTERIZACION A 3.1'!M87</f>
        <v>85.2</v>
      </c>
      <c r="G30" s="121">
        <f t="shared" si="1"/>
        <v>1.6660800187727341E-2</v>
      </c>
      <c r="H30" s="116">
        <f>'FICHA DE CARACTERIZACION A 3.1'!M141</f>
        <v>139.19999999999999</v>
      </c>
      <c r="I30" s="121">
        <f t="shared" si="2"/>
        <v>1.733542553986402E-2</v>
      </c>
      <c r="J30" s="116">
        <f t="shared" si="3"/>
        <v>255.6</v>
      </c>
      <c r="K30" s="121">
        <f t="shared" si="4"/>
        <v>1.6633044836337593E-2</v>
      </c>
    </row>
    <row r="31" spans="1:11" ht="24.75" customHeight="1" thickBot="1" x14ac:dyDescent="0.35">
      <c r="A31" s="201"/>
      <c r="B31" s="4" t="s">
        <v>29</v>
      </c>
      <c r="C31" s="16" t="s">
        <v>19</v>
      </c>
      <c r="D31" s="116">
        <f>'FICHA DE CARACTERIZACION A 3.1'!M34</f>
        <v>32.200000000000003</v>
      </c>
      <c r="E31" s="121">
        <f t="shared" si="0"/>
        <v>1.4482324368084913E-2</v>
      </c>
      <c r="F31" s="116">
        <f>'FICHA DE CARACTERIZACION A 3.1'!M88</f>
        <v>86.2</v>
      </c>
      <c r="G31" s="121">
        <f t="shared" si="1"/>
        <v>1.6856349485705361E-2</v>
      </c>
      <c r="H31" s="116">
        <f>'FICHA DE CARACTERIZACION A 3.1'!M142</f>
        <v>140.19999999999999</v>
      </c>
      <c r="I31" s="121">
        <f t="shared" si="2"/>
        <v>1.7459961642880283E-2</v>
      </c>
      <c r="J31" s="116">
        <f t="shared" si="3"/>
        <v>258.60000000000002</v>
      </c>
      <c r="K31" s="121">
        <f t="shared" si="4"/>
        <v>1.6828268367280522E-2</v>
      </c>
    </row>
    <row r="32" spans="1:11" ht="24.75" customHeight="1" thickBot="1" x14ac:dyDescent="0.35">
      <c r="A32" s="201"/>
      <c r="B32" s="6"/>
      <c r="C32" s="17" t="s">
        <v>20</v>
      </c>
      <c r="D32" s="116">
        <f>'FICHA DE CARACTERIZACION A 3.1'!M35</f>
        <v>33.200000000000003</v>
      </c>
      <c r="E32" s="121">
        <f t="shared" si="0"/>
        <v>1.4932085994422953E-2</v>
      </c>
      <c r="F32" s="116">
        <f>'FICHA DE CARACTERIZACION A 3.1'!M89</f>
        <v>87.2</v>
      </c>
      <c r="G32" s="121">
        <f t="shared" si="1"/>
        <v>1.7051898783683381E-2</v>
      </c>
      <c r="H32" s="116">
        <f>'FICHA DE CARACTERIZACION A 3.1'!M143</f>
        <v>141.19999999999999</v>
      </c>
      <c r="I32" s="121">
        <f t="shared" si="2"/>
        <v>1.7584497745896547E-2</v>
      </c>
      <c r="J32" s="116">
        <f t="shared" si="3"/>
        <v>261.60000000000002</v>
      </c>
      <c r="K32" s="121">
        <f t="shared" si="4"/>
        <v>1.7023491898223452E-2</v>
      </c>
    </row>
    <row r="33" spans="1:11" ht="24.75" customHeight="1" thickBot="1" x14ac:dyDescent="0.35">
      <c r="A33" s="201"/>
      <c r="B33" s="5" t="s">
        <v>30</v>
      </c>
      <c r="C33" s="18" t="s">
        <v>19</v>
      </c>
      <c r="D33" s="116">
        <f>'FICHA DE CARACTERIZACION A 3.1'!M36</f>
        <v>34.200000000000003</v>
      </c>
      <c r="E33" s="121">
        <f t="shared" si="0"/>
        <v>1.5381847620760994E-2</v>
      </c>
      <c r="F33" s="116">
        <f>'FICHA DE CARACTERIZACION A 3.1'!M90</f>
        <v>88.2</v>
      </c>
      <c r="G33" s="121">
        <f t="shared" si="1"/>
        <v>1.7247448081661402E-2</v>
      </c>
      <c r="H33" s="116">
        <f>'FICHA DE CARACTERIZACION A 3.1'!M144</f>
        <v>142.19999999999999</v>
      </c>
      <c r="I33" s="121">
        <f t="shared" si="2"/>
        <v>1.7709033848912811E-2</v>
      </c>
      <c r="J33" s="116">
        <f t="shared" si="3"/>
        <v>264.60000000000002</v>
      </c>
      <c r="K33" s="121">
        <f t="shared" si="4"/>
        <v>1.7218715429166382E-2</v>
      </c>
    </row>
    <row r="34" spans="1:11" ht="24.75" customHeight="1" thickBot="1" x14ac:dyDescent="0.35">
      <c r="A34" s="201"/>
      <c r="B34" s="6"/>
      <c r="C34" s="17" t="s">
        <v>20</v>
      </c>
      <c r="D34" s="116">
        <f>'FICHA DE CARACTERIZACION A 3.1'!M37</f>
        <v>35.200000000000003</v>
      </c>
      <c r="E34" s="121">
        <f t="shared" si="0"/>
        <v>1.5831609247099036E-2</v>
      </c>
      <c r="F34" s="116">
        <f>'FICHA DE CARACTERIZACION A 3.1'!M91</f>
        <v>89.2</v>
      </c>
      <c r="G34" s="121">
        <f t="shared" si="1"/>
        <v>1.7442997379639422E-2</v>
      </c>
      <c r="H34" s="116">
        <f>'FICHA DE CARACTERIZACION A 3.1'!M145</f>
        <v>143.19999999999999</v>
      </c>
      <c r="I34" s="121">
        <f t="shared" si="2"/>
        <v>1.7833569951929078E-2</v>
      </c>
      <c r="J34" s="116">
        <f t="shared" si="3"/>
        <v>267.60000000000002</v>
      </c>
      <c r="K34" s="121">
        <f t="shared" si="4"/>
        <v>1.7413938960109312E-2</v>
      </c>
    </row>
    <row r="35" spans="1:11" ht="24.75" customHeight="1" thickBot="1" x14ac:dyDescent="0.35">
      <c r="A35" s="201"/>
      <c r="B35" s="5" t="s">
        <v>31</v>
      </c>
      <c r="C35" s="5" t="s">
        <v>19</v>
      </c>
      <c r="D35" s="116">
        <f>'FICHA DE CARACTERIZACION A 3.1'!M38</f>
        <v>36.200000000000003</v>
      </c>
      <c r="E35" s="121">
        <f t="shared" si="0"/>
        <v>1.6281370873437076E-2</v>
      </c>
      <c r="F35" s="116">
        <f>'FICHA DE CARACTERIZACION A 3.1'!M92</f>
        <v>90.2</v>
      </c>
      <c r="G35" s="121">
        <f t="shared" si="1"/>
        <v>1.7638546677617443E-2</v>
      </c>
      <c r="H35" s="116">
        <f>'FICHA DE CARACTERIZACION A 3.1'!M146</f>
        <v>144.19999999999999</v>
      </c>
      <c r="I35" s="121">
        <f t="shared" si="2"/>
        <v>1.7958106054945341E-2</v>
      </c>
      <c r="J35" s="116">
        <f t="shared" si="3"/>
        <v>270.60000000000002</v>
      </c>
      <c r="K35" s="121">
        <f t="shared" si="4"/>
        <v>1.7609162491052242E-2</v>
      </c>
    </row>
    <row r="36" spans="1:11" ht="24.75" customHeight="1" thickBot="1" x14ac:dyDescent="0.35">
      <c r="A36" s="201"/>
      <c r="B36" s="6"/>
      <c r="C36" s="17" t="s">
        <v>20</v>
      </c>
      <c r="D36" s="116">
        <f>'FICHA DE CARACTERIZACION A 3.1'!M39</f>
        <v>37.200000000000003</v>
      </c>
      <c r="E36" s="121">
        <f t="shared" si="0"/>
        <v>1.6731132499775116E-2</v>
      </c>
      <c r="F36" s="116">
        <f>'FICHA DE CARACTERIZACION A 3.1'!M93</f>
        <v>91.2</v>
      </c>
      <c r="G36" s="121">
        <f t="shared" si="1"/>
        <v>1.7834095975595463E-2</v>
      </c>
      <c r="H36" s="116">
        <f>'FICHA DE CARACTERIZACION A 3.1'!M147</f>
        <v>145.19999999999999</v>
      </c>
      <c r="I36" s="121">
        <f t="shared" si="2"/>
        <v>1.8082642157961605E-2</v>
      </c>
      <c r="J36" s="116">
        <f t="shared" si="3"/>
        <v>273.60000000000002</v>
      </c>
      <c r="K36" s="121">
        <f t="shared" si="4"/>
        <v>1.7804386021995171E-2</v>
      </c>
    </row>
    <row r="37" spans="1:11" ht="24.75" customHeight="1" thickBot="1" x14ac:dyDescent="0.35">
      <c r="A37" s="201"/>
      <c r="B37" s="5" t="s">
        <v>32</v>
      </c>
      <c r="C37" s="18" t="s">
        <v>19</v>
      </c>
      <c r="D37" s="116">
        <f>'FICHA DE CARACTERIZACION A 3.1'!M40</f>
        <v>38.200000000000003</v>
      </c>
      <c r="E37" s="121">
        <f t="shared" si="0"/>
        <v>1.7180894126113157E-2</v>
      </c>
      <c r="F37" s="116">
        <f>'FICHA DE CARACTERIZACION A 3.1'!M94</f>
        <v>92.2</v>
      </c>
      <c r="G37" s="121">
        <f t="shared" si="1"/>
        <v>1.8029645273573484E-2</v>
      </c>
      <c r="H37" s="116">
        <f>'FICHA DE CARACTERIZACION A 3.1'!M148</f>
        <v>146.19999999999999</v>
      </c>
      <c r="I37" s="121">
        <f t="shared" si="2"/>
        <v>1.8207178260977869E-2</v>
      </c>
      <c r="J37" s="116">
        <f t="shared" si="3"/>
        <v>276.60000000000002</v>
      </c>
      <c r="K37" s="121">
        <f t="shared" si="4"/>
        <v>1.7999609552938101E-2</v>
      </c>
    </row>
    <row r="38" spans="1:11" ht="24.75" customHeight="1" thickBot="1" x14ac:dyDescent="0.35">
      <c r="A38" s="201"/>
      <c r="B38" s="6"/>
      <c r="C38" s="17" t="s">
        <v>20</v>
      </c>
      <c r="D38" s="116">
        <f>'FICHA DE CARACTERIZACION A 3.1'!M41</f>
        <v>39.200000000000003</v>
      </c>
      <c r="E38" s="121">
        <f t="shared" si="0"/>
        <v>1.7630655752451197E-2</v>
      </c>
      <c r="F38" s="116">
        <f>'FICHA DE CARACTERIZACION A 3.1'!M95</f>
        <v>93.2</v>
      </c>
      <c r="G38" s="121">
        <f t="shared" si="1"/>
        <v>1.8225194571551504E-2</v>
      </c>
      <c r="H38" s="116">
        <f>'FICHA DE CARACTERIZACION A 3.1'!M149</f>
        <v>147.19999999999999</v>
      </c>
      <c r="I38" s="121">
        <f t="shared" si="2"/>
        <v>1.8331714363994136E-2</v>
      </c>
      <c r="J38" s="116">
        <f t="shared" si="3"/>
        <v>279.60000000000002</v>
      </c>
      <c r="K38" s="121">
        <f t="shared" si="4"/>
        <v>1.8194833083881031E-2</v>
      </c>
    </row>
    <row r="39" spans="1:11" ht="24.75" customHeight="1" thickBot="1" x14ac:dyDescent="0.35">
      <c r="A39" s="201"/>
      <c r="B39" s="5" t="s">
        <v>33</v>
      </c>
      <c r="C39" s="18" t="s">
        <v>19</v>
      </c>
      <c r="D39" s="116">
        <f>'FICHA DE CARACTERIZACION A 3.1'!M42</f>
        <v>40.200000000000003</v>
      </c>
      <c r="E39" s="121">
        <f t="shared" si="0"/>
        <v>1.8080417378789237E-2</v>
      </c>
      <c r="F39" s="116">
        <f>'FICHA DE CARACTERIZACION A 3.1'!M96</f>
        <v>94.2</v>
      </c>
      <c r="G39" s="121">
        <f t="shared" si="1"/>
        <v>1.8420743869529525E-2</v>
      </c>
      <c r="H39" s="116">
        <f>'FICHA DE CARACTERIZACION A 3.1'!M150</f>
        <v>148.19999999999999</v>
      </c>
      <c r="I39" s="121">
        <f t="shared" si="2"/>
        <v>1.84562504670104E-2</v>
      </c>
      <c r="J39" s="116">
        <f t="shared" si="3"/>
        <v>282.60000000000002</v>
      </c>
      <c r="K39" s="121">
        <f t="shared" si="4"/>
        <v>1.8390056614823961E-2</v>
      </c>
    </row>
    <row r="40" spans="1:11" ht="24.75" customHeight="1" thickBot="1" x14ac:dyDescent="0.35">
      <c r="A40" s="201"/>
      <c r="B40" s="3"/>
      <c r="C40" s="15" t="s">
        <v>20</v>
      </c>
      <c r="D40" s="116">
        <f>'FICHA DE CARACTERIZACION A 3.1'!M43</f>
        <v>41.2</v>
      </c>
      <c r="E40" s="121">
        <f t="shared" si="0"/>
        <v>1.8530179005127278E-2</v>
      </c>
      <c r="F40" s="116">
        <f>'FICHA DE CARACTERIZACION A 3.1'!M97</f>
        <v>95.2</v>
      </c>
      <c r="G40" s="121">
        <f t="shared" si="1"/>
        <v>1.8616293167507545E-2</v>
      </c>
      <c r="H40" s="116">
        <f>'FICHA DE CARACTERIZACION A 3.1'!M151</f>
        <v>149.19999999999999</v>
      </c>
      <c r="I40" s="121">
        <f t="shared" si="2"/>
        <v>1.8580786570026663E-2</v>
      </c>
      <c r="J40" s="116">
        <f t="shared" si="3"/>
        <v>285.60000000000002</v>
      </c>
      <c r="K40" s="121">
        <f t="shared" si="4"/>
        <v>1.8585280145766891E-2</v>
      </c>
    </row>
    <row r="41" spans="1:11" ht="24.75" customHeight="1" thickBot="1" x14ac:dyDescent="0.35">
      <c r="A41" s="208" t="s">
        <v>34</v>
      </c>
      <c r="B41" s="211" t="s">
        <v>35</v>
      </c>
      <c r="C41" s="212"/>
      <c r="D41" s="116">
        <f>'FICHA DE CARACTERIZACION A 3.1'!M44</f>
        <v>42.2</v>
      </c>
      <c r="E41" s="121">
        <f t="shared" si="0"/>
        <v>1.8979940631465322E-2</v>
      </c>
      <c r="F41" s="116">
        <f>'FICHA DE CARACTERIZACION A 3.1'!M98</f>
        <v>96.2</v>
      </c>
      <c r="G41" s="121">
        <f t="shared" si="1"/>
        <v>1.8811842465485566E-2</v>
      </c>
      <c r="H41" s="116">
        <f>'FICHA DE CARACTERIZACION A 3.1'!M152</f>
        <v>150.19999999999999</v>
      </c>
      <c r="I41" s="121">
        <f t="shared" si="2"/>
        <v>1.8705322673042927E-2</v>
      </c>
      <c r="J41" s="116">
        <f t="shared" si="3"/>
        <v>288.60000000000002</v>
      </c>
      <c r="K41" s="121">
        <f t="shared" si="4"/>
        <v>1.8780503676709817E-2</v>
      </c>
    </row>
    <row r="42" spans="1:11" ht="24.75" customHeight="1" thickBot="1" x14ac:dyDescent="0.35">
      <c r="A42" s="209"/>
      <c r="B42" s="213" t="s">
        <v>36</v>
      </c>
      <c r="C42" s="214"/>
      <c r="D42" s="116">
        <f>'FICHA DE CARACTERIZACION A 3.1'!M45</f>
        <v>43.2</v>
      </c>
      <c r="E42" s="121">
        <f t="shared" si="0"/>
        <v>1.9429702257803362E-2</v>
      </c>
      <c r="F42" s="116">
        <f>'FICHA DE CARACTERIZACION A 3.1'!M99</f>
        <v>97.2</v>
      </c>
      <c r="G42" s="121">
        <f t="shared" si="1"/>
        <v>1.9007391763463586E-2</v>
      </c>
      <c r="H42" s="116">
        <f>'FICHA DE CARACTERIZACION A 3.1'!M153</f>
        <v>151.19999999999999</v>
      </c>
      <c r="I42" s="121">
        <f t="shared" si="2"/>
        <v>1.8829858776059194E-2</v>
      </c>
      <c r="J42" s="116">
        <f t="shared" si="3"/>
        <v>291.60000000000002</v>
      </c>
      <c r="K42" s="121">
        <f t="shared" si="4"/>
        <v>1.8975727207652747E-2</v>
      </c>
    </row>
    <row r="43" spans="1:11" ht="24.75" customHeight="1" thickBot="1" x14ac:dyDescent="0.35">
      <c r="A43" s="209"/>
      <c r="B43" s="31" t="s">
        <v>37</v>
      </c>
      <c r="C43" s="32"/>
      <c r="D43" s="116">
        <f>'FICHA DE CARACTERIZACION A 3.1'!M46</f>
        <v>44.2</v>
      </c>
      <c r="E43" s="121">
        <f t="shared" si="0"/>
        <v>1.9879463884141402E-2</v>
      </c>
      <c r="F43" s="116">
        <f>'FICHA DE CARACTERIZACION A 3.1'!M100</f>
        <v>98.2</v>
      </c>
      <c r="G43" s="121">
        <f t="shared" si="1"/>
        <v>1.9202941061441606E-2</v>
      </c>
      <c r="H43" s="116">
        <f>'FICHA DE CARACTERIZACION A 3.1'!M154</f>
        <v>152.19999999999999</v>
      </c>
      <c r="I43" s="121">
        <f t="shared" si="2"/>
        <v>1.8954394879075458E-2</v>
      </c>
      <c r="J43" s="116">
        <f t="shared" si="3"/>
        <v>294.60000000000002</v>
      </c>
      <c r="K43" s="121">
        <f t="shared" si="4"/>
        <v>1.9170950738595677E-2</v>
      </c>
    </row>
    <row r="44" spans="1:11" ht="24.75" customHeight="1" thickBot="1" x14ac:dyDescent="0.35">
      <c r="A44" s="209"/>
      <c r="B44" s="215" t="s">
        <v>38</v>
      </c>
      <c r="C44" s="216"/>
      <c r="D44" s="116">
        <f>'FICHA DE CARACTERIZACION A 3.1'!M47</f>
        <v>45.2</v>
      </c>
      <c r="E44" s="121">
        <f t="shared" si="0"/>
        <v>2.0329225510479443E-2</v>
      </c>
      <c r="F44" s="116">
        <f>'FICHA DE CARACTERIZACION A 3.1'!M101</f>
        <v>99.2</v>
      </c>
      <c r="G44" s="121">
        <f t="shared" si="1"/>
        <v>1.9398490359419627E-2</v>
      </c>
      <c r="H44" s="116">
        <f>'FICHA DE CARACTERIZACION A 3.1'!M155</f>
        <v>153.19999999999999</v>
      </c>
      <c r="I44" s="121">
        <f t="shared" si="2"/>
        <v>1.9078930982091721E-2</v>
      </c>
      <c r="J44" s="116">
        <f t="shared" si="3"/>
        <v>297.60000000000002</v>
      </c>
      <c r="K44" s="121">
        <f t="shared" si="4"/>
        <v>1.9366174269538607E-2</v>
      </c>
    </row>
    <row r="45" spans="1:11" ht="24.75" customHeight="1" thickBot="1" x14ac:dyDescent="0.35">
      <c r="A45" s="210"/>
      <c r="B45" s="195" t="s">
        <v>41</v>
      </c>
      <c r="C45" s="196"/>
      <c r="D45" s="116">
        <f>'FICHA DE CARACTERIZACION A 3.1'!M48</f>
        <v>46.2</v>
      </c>
      <c r="E45" s="121">
        <f t="shared" si="0"/>
        <v>2.0778987136817483E-2</v>
      </c>
      <c r="F45" s="116">
        <f>'FICHA DE CARACTERIZACION A 3.1'!M102</f>
        <v>100.2</v>
      </c>
      <c r="G45" s="121">
        <f t="shared" si="1"/>
        <v>1.9594039657397647E-2</v>
      </c>
      <c r="H45" s="116">
        <f>'FICHA DE CARACTERIZACION A 3.1'!M156</f>
        <v>154.19999999999999</v>
      </c>
      <c r="I45" s="121">
        <f t="shared" si="2"/>
        <v>1.9203467085107985E-2</v>
      </c>
      <c r="J45" s="116">
        <f t="shared" si="3"/>
        <v>300.60000000000002</v>
      </c>
      <c r="K45" s="121">
        <f t="shared" si="4"/>
        <v>1.9561397800481536E-2</v>
      </c>
    </row>
    <row r="46" spans="1:11" ht="24.75" customHeight="1" thickBot="1" x14ac:dyDescent="0.35">
      <c r="A46" s="199" t="s">
        <v>39</v>
      </c>
      <c r="B46" s="195" t="s">
        <v>66</v>
      </c>
      <c r="C46" s="196"/>
      <c r="D46" s="116">
        <f>'FICHA DE CARACTERIZACION A 3.1'!M49</f>
        <v>47.2</v>
      </c>
      <c r="E46" s="121">
        <f t="shared" si="0"/>
        <v>2.1228748763155524E-2</v>
      </c>
      <c r="F46" s="116">
        <f>'FICHA DE CARACTERIZACION A 3.1'!M103</f>
        <v>101.2</v>
      </c>
      <c r="G46" s="121">
        <f t="shared" si="1"/>
        <v>1.9789588955375668E-2</v>
      </c>
      <c r="H46" s="116">
        <f>'FICHA DE CARACTERIZACION A 3.1'!M157</f>
        <v>155.19999999999999</v>
      </c>
      <c r="I46" s="121">
        <f t="shared" si="2"/>
        <v>1.9328003188124252E-2</v>
      </c>
      <c r="J46" s="116">
        <f t="shared" si="3"/>
        <v>303.60000000000002</v>
      </c>
      <c r="K46" s="121">
        <f t="shared" si="4"/>
        <v>1.9756621331424466E-2</v>
      </c>
    </row>
    <row r="47" spans="1:11" ht="24.75" customHeight="1" thickBot="1" x14ac:dyDescent="0.35">
      <c r="A47" s="199"/>
      <c r="B47" s="195" t="s">
        <v>67</v>
      </c>
      <c r="C47" s="196"/>
      <c r="D47" s="116">
        <f>'FICHA DE CARACTERIZACION A 3.1'!M50</f>
        <v>48.2</v>
      </c>
      <c r="E47" s="121">
        <f t="shared" si="0"/>
        <v>2.1678510389493564E-2</v>
      </c>
      <c r="F47" s="116">
        <f>'FICHA DE CARACTERIZACION A 3.1'!M104</f>
        <v>102.2</v>
      </c>
      <c r="G47" s="121">
        <f t="shared" si="1"/>
        <v>1.9985138253353688E-2</v>
      </c>
      <c r="H47" s="116">
        <f>'FICHA DE CARACTERIZACION A 3.1'!M158</f>
        <v>156.19999999999999</v>
      </c>
      <c r="I47" s="121">
        <f t="shared" si="2"/>
        <v>1.9452539291140516E-2</v>
      </c>
      <c r="J47" s="116">
        <f t="shared" si="3"/>
        <v>306.60000000000002</v>
      </c>
      <c r="K47" s="121">
        <f t="shared" si="4"/>
        <v>1.9951844862367396E-2</v>
      </c>
    </row>
    <row r="48" spans="1:11" ht="24.75" customHeight="1" thickBot="1" x14ac:dyDescent="0.35">
      <c r="A48" s="199"/>
      <c r="B48" s="195" t="s">
        <v>68</v>
      </c>
      <c r="C48" s="196"/>
      <c r="D48" s="116">
        <f>'FICHA DE CARACTERIZACION A 3.1'!M51</f>
        <v>49.2</v>
      </c>
      <c r="E48" s="121">
        <f t="shared" si="0"/>
        <v>2.2128272015831604E-2</v>
      </c>
      <c r="F48" s="116">
        <f>'FICHA DE CARACTERIZACION A 3.1'!M105</f>
        <v>103.2</v>
      </c>
      <c r="G48" s="121">
        <f t="shared" si="1"/>
        <v>2.0180687551331709E-2</v>
      </c>
      <c r="H48" s="116">
        <f>'FICHA DE CARACTERIZACION A 3.1'!M159</f>
        <v>157.19999999999999</v>
      </c>
      <c r="I48" s="121">
        <f t="shared" si="2"/>
        <v>1.9577075394156779E-2</v>
      </c>
      <c r="J48" s="116">
        <f t="shared" si="3"/>
        <v>309.60000000000002</v>
      </c>
      <c r="K48" s="121">
        <f t="shared" si="4"/>
        <v>2.0147068393310326E-2</v>
      </c>
    </row>
    <row r="49" spans="1:11" ht="24.75" customHeight="1" thickBot="1" x14ac:dyDescent="0.35">
      <c r="A49" s="199"/>
      <c r="B49" s="195" t="s">
        <v>81</v>
      </c>
      <c r="C49" s="196"/>
      <c r="D49" s="116">
        <f>'FICHA DE CARACTERIZACION A 3.1'!M52</f>
        <v>50.2</v>
      </c>
      <c r="E49" s="121">
        <f t="shared" si="0"/>
        <v>2.2578033642169645E-2</v>
      </c>
      <c r="F49" s="116">
        <f>'FICHA DE CARACTERIZACION A 3.1'!M106</f>
        <v>104.2</v>
      </c>
      <c r="G49" s="121">
        <f t="shared" si="1"/>
        <v>2.0376236849309729E-2</v>
      </c>
      <c r="H49" s="116">
        <f>'FICHA DE CARACTERIZACION A 3.1'!M160</f>
        <v>158.19999999999999</v>
      </c>
      <c r="I49" s="121">
        <f t="shared" si="2"/>
        <v>1.9701611497173043E-2</v>
      </c>
      <c r="J49" s="116">
        <f t="shared" si="3"/>
        <v>312.60000000000002</v>
      </c>
      <c r="K49" s="121">
        <f t="shared" si="4"/>
        <v>2.0342291924253256E-2</v>
      </c>
    </row>
    <row r="50" spans="1:11" ht="24.75" customHeight="1" thickBot="1" x14ac:dyDescent="0.35">
      <c r="A50" s="199"/>
      <c r="B50" s="195" t="s">
        <v>69</v>
      </c>
      <c r="C50" s="196"/>
      <c r="D50" s="116">
        <f>'FICHA DE CARACTERIZACION A 3.1'!M53</f>
        <v>51.2</v>
      </c>
      <c r="E50" s="121">
        <f t="shared" si="0"/>
        <v>2.3027795268507685E-2</v>
      </c>
      <c r="F50" s="116">
        <f>'FICHA DE CARACTERIZACION A 3.1'!M107</f>
        <v>105.2</v>
      </c>
      <c r="G50" s="121">
        <f t="shared" si="1"/>
        <v>2.057178614728775E-2</v>
      </c>
      <c r="H50" s="116">
        <f>'FICHA DE CARACTERIZACION A 3.1'!M161</f>
        <v>159.19999999999999</v>
      </c>
      <c r="I50" s="121">
        <f t="shared" si="2"/>
        <v>1.982614760018931E-2</v>
      </c>
      <c r="J50" s="116">
        <f t="shared" si="3"/>
        <v>315.60000000000002</v>
      </c>
      <c r="K50" s="121">
        <f t="shared" si="4"/>
        <v>2.0537515455196186E-2</v>
      </c>
    </row>
    <row r="51" spans="1:11" ht="24.75" customHeight="1" thickBot="1" x14ac:dyDescent="0.35">
      <c r="A51" s="199"/>
      <c r="B51" s="195" t="s">
        <v>71</v>
      </c>
      <c r="C51" s="196"/>
      <c r="D51" s="116">
        <f>'FICHA DE CARACTERIZACION A 3.1'!M54</f>
        <v>52.2</v>
      </c>
      <c r="E51" s="121">
        <f t="shared" si="0"/>
        <v>2.3477556894845729E-2</v>
      </c>
      <c r="F51" s="116">
        <f>'FICHA DE CARACTERIZACION A 3.1'!M108</f>
        <v>106.2</v>
      </c>
      <c r="G51" s="121">
        <f t="shared" si="1"/>
        <v>2.076733544526577E-2</v>
      </c>
      <c r="H51" s="116">
        <f>'FICHA DE CARACTERIZACION A 3.1'!M162</f>
        <v>160.19999999999999</v>
      </c>
      <c r="I51" s="121">
        <f t="shared" si="2"/>
        <v>1.9950683703205574E-2</v>
      </c>
      <c r="J51" s="116">
        <f t="shared" si="3"/>
        <v>318.60000000000002</v>
      </c>
      <c r="K51" s="121">
        <f t="shared" si="4"/>
        <v>2.0732738986139112E-2</v>
      </c>
    </row>
    <row r="52" spans="1:11" ht="24.75" customHeight="1" thickBot="1" x14ac:dyDescent="0.35">
      <c r="A52" s="199"/>
      <c r="B52" s="195" t="s">
        <v>72</v>
      </c>
      <c r="C52" s="196"/>
      <c r="D52" s="116">
        <f>'FICHA DE CARACTERIZACION A 3.1'!M55</f>
        <v>53.2</v>
      </c>
      <c r="E52" s="121">
        <f t="shared" si="0"/>
        <v>2.3927318521183769E-2</v>
      </c>
      <c r="F52" s="116">
        <f>'FICHA DE CARACTERIZACION A 3.1'!M109</f>
        <v>107.2</v>
      </c>
      <c r="G52" s="121">
        <f t="shared" si="1"/>
        <v>2.0962884743243791E-2</v>
      </c>
      <c r="H52" s="116">
        <f>'FICHA DE CARACTERIZACION A 3.1'!M163</f>
        <v>161.19999999999999</v>
      </c>
      <c r="I52" s="121">
        <f t="shared" si="2"/>
        <v>2.0075219806221838E-2</v>
      </c>
      <c r="J52" s="116">
        <f t="shared" si="3"/>
        <v>321.60000000000002</v>
      </c>
      <c r="K52" s="121">
        <f t="shared" si="4"/>
        <v>2.0927962517082042E-2</v>
      </c>
    </row>
    <row r="53" spans="1:11" ht="24.75" customHeight="1" thickBot="1" x14ac:dyDescent="0.35">
      <c r="A53" s="30" t="s">
        <v>84</v>
      </c>
      <c r="B53" s="195" t="s">
        <v>70</v>
      </c>
      <c r="C53" s="196"/>
      <c r="D53" s="116">
        <f>'FICHA DE CARACTERIZACION A 3.1'!M56</f>
        <v>54.2</v>
      </c>
      <c r="E53" s="121">
        <f t="shared" si="0"/>
        <v>2.437708014752181E-2</v>
      </c>
      <c r="F53" s="116">
        <f>'FICHA DE CARACTERIZACION A 3.1'!M110</f>
        <v>108.2</v>
      </c>
      <c r="G53" s="121">
        <f t="shared" si="1"/>
        <v>2.1158434041221811E-2</v>
      </c>
      <c r="H53" s="116">
        <f>'FICHA DE CARACTERIZACION A 3.1'!M164</f>
        <v>162.19999999999999</v>
      </c>
      <c r="I53" s="121">
        <f t="shared" si="2"/>
        <v>2.0199755909238101E-2</v>
      </c>
      <c r="J53" s="116">
        <f t="shared" si="3"/>
        <v>324.60000000000002</v>
      </c>
      <c r="K53" s="121">
        <f t="shared" si="4"/>
        <v>2.1123186048024972E-2</v>
      </c>
    </row>
    <row r="54" spans="1:11" ht="24.75" customHeight="1" thickBot="1" x14ac:dyDescent="0.35">
      <c r="A54" s="9" t="s">
        <v>40</v>
      </c>
      <c r="B54" s="197" t="s">
        <v>58</v>
      </c>
      <c r="C54" s="198"/>
      <c r="D54" s="116">
        <f>'FICHA DE CARACTERIZACION A 3.1'!M57</f>
        <v>55.2</v>
      </c>
      <c r="E54" s="121">
        <f t="shared" si="0"/>
        <v>2.482684177385985E-2</v>
      </c>
      <c r="F54" s="116">
        <f>'FICHA DE CARACTERIZACION A 3.1'!M111</f>
        <v>109.2</v>
      </c>
      <c r="G54" s="121">
        <f t="shared" si="1"/>
        <v>2.1353983339199831E-2</v>
      </c>
      <c r="H54" s="116">
        <f>'FICHA DE CARACTERIZACION A 3.1'!M165</f>
        <v>163.19999999999999</v>
      </c>
      <c r="I54" s="121">
        <f t="shared" si="2"/>
        <v>2.0324292012254368E-2</v>
      </c>
      <c r="J54" s="116">
        <f t="shared" si="3"/>
        <v>327.60000000000002</v>
      </c>
      <c r="K54" s="121">
        <f t="shared" si="4"/>
        <v>2.1318409578967901E-2</v>
      </c>
    </row>
    <row r="55" spans="1:11" ht="24.75" customHeight="1" thickBot="1" x14ac:dyDescent="0.35">
      <c r="A55" s="202" t="s">
        <v>73</v>
      </c>
      <c r="B55" s="193" t="s">
        <v>42</v>
      </c>
      <c r="C55" s="194"/>
      <c r="D55" s="116">
        <f>'FICHA DE CARACTERIZACION A 3.1'!M58</f>
        <v>56.2</v>
      </c>
      <c r="E55" s="121">
        <f t="shared" si="0"/>
        <v>2.527660340019789E-2</v>
      </c>
      <c r="F55" s="116">
        <f>'FICHA DE CARACTERIZACION A 3.1'!M112</f>
        <v>110.2</v>
      </c>
      <c r="G55" s="121">
        <f t="shared" si="1"/>
        <v>2.1549532637177852E-2</v>
      </c>
      <c r="H55" s="116">
        <f>'FICHA DE CARACTERIZACION A 3.1'!M166</f>
        <v>164.2</v>
      </c>
      <c r="I55" s="121">
        <f t="shared" si="2"/>
        <v>2.0448828115270632E-2</v>
      </c>
      <c r="J55" s="116">
        <f t="shared" si="3"/>
        <v>330.6</v>
      </c>
      <c r="K55" s="121">
        <f t="shared" si="4"/>
        <v>2.1513633109910831E-2</v>
      </c>
    </row>
    <row r="56" spans="1:11" ht="24.75" customHeight="1" thickBot="1" x14ac:dyDescent="0.35">
      <c r="A56" s="203"/>
      <c r="B56" s="204" t="s">
        <v>43</v>
      </c>
      <c r="C56" s="205"/>
      <c r="D56" s="116">
        <f>'FICHA DE CARACTERIZACION A 3.1'!M59</f>
        <v>57.2</v>
      </c>
      <c r="E56" s="121">
        <f t="shared" si="0"/>
        <v>2.5726365026535931E-2</v>
      </c>
      <c r="F56" s="116">
        <f>'FICHA DE CARACTERIZACION A 3.1'!M113</f>
        <v>111.2</v>
      </c>
      <c r="G56" s="121">
        <f t="shared" si="1"/>
        <v>2.1745081935155872E-2</v>
      </c>
      <c r="H56" s="116">
        <f>'FICHA DE CARACTERIZACION A 3.1'!M167</f>
        <v>165.2</v>
      </c>
      <c r="I56" s="121">
        <f t="shared" si="2"/>
        <v>2.0573364218286896E-2</v>
      </c>
      <c r="J56" s="116">
        <f t="shared" si="3"/>
        <v>333.6</v>
      </c>
      <c r="K56" s="121">
        <f t="shared" si="4"/>
        <v>2.1708856640853761E-2</v>
      </c>
    </row>
    <row r="57" spans="1:11" ht="24.75" customHeight="1" thickBot="1" x14ac:dyDescent="0.35">
      <c r="A57" s="24" t="s">
        <v>74</v>
      </c>
      <c r="B57" s="204" t="s">
        <v>44</v>
      </c>
      <c r="C57" s="205"/>
      <c r="D57" s="116">
        <f>'FICHA DE CARACTERIZACION A 3.1'!M60</f>
        <v>58.2</v>
      </c>
      <c r="E57" s="121">
        <f t="shared" si="0"/>
        <v>2.6176126652873971E-2</v>
      </c>
      <c r="F57" s="116">
        <f>'FICHA DE CARACTERIZACION A 3.1'!M114</f>
        <v>112.2</v>
      </c>
      <c r="G57" s="121">
        <f t="shared" si="1"/>
        <v>2.1940631233133893E-2</v>
      </c>
      <c r="H57" s="116">
        <f>'FICHA DE CARACTERIZACION A 3.1'!M168</f>
        <v>166.2</v>
      </c>
      <c r="I57" s="121">
        <f t="shared" si="2"/>
        <v>2.0697900321303159E-2</v>
      </c>
      <c r="J57" s="116">
        <f t="shared" si="3"/>
        <v>336.6</v>
      </c>
      <c r="K57" s="121">
        <f t="shared" si="4"/>
        <v>2.1904080171796691E-2</v>
      </c>
    </row>
    <row r="58" spans="1:11" ht="24.75" customHeight="1" thickBot="1" x14ac:dyDescent="0.35">
      <c r="A58" s="25" t="s">
        <v>75</v>
      </c>
      <c r="B58" s="204" t="s">
        <v>45</v>
      </c>
      <c r="C58" s="205"/>
      <c r="D58" s="116">
        <f>'FICHA DE CARACTERIZACION A 3.1'!M61</f>
        <v>59.2</v>
      </c>
      <c r="E58" s="121">
        <f t="shared" si="0"/>
        <v>2.6625888279212011E-2</v>
      </c>
      <c r="F58" s="116">
        <f>'FICHA DE CARACTERIZACION A 3.1'!M115</f>
        <v>113.2</v>
      </c>
      <c r="G58" s="121">
        <f t="shared" si="1"/>
        <v>2.2136180531111913E-2</v>
      </c>
      <c r="H58" s="116">
        <f>'FICHA DE CARACTERIZACION A 3.1'!M169</f>
        <v>167.2</v>
      </c>
      <c r="I58" s="121">
        <f t="shared" si="2"/>
        <v>2.0822436424319427E-2</v>
      </c>
      <c r="J58" s="116">
        <f t="shared" si="3"/>
        <v>339.6</v>
      </c>
      <c r="K58" s="121">
        <f t="shared" si="4"/>
        <v>2.2099303702739621E-2</v>
      </c>
    </row>
    <row r="59" spans="1:11" ht="24.75" customHeight="1" thickBot="1" x14ac:dyDescent="0.35">
      <c r="A59" s="220" t="s">
        <v>76</v>
      </c>
      <c r="B59" s="26" t="s">
        <v>48</v>
      </c>
      <c r="C59" s="27"/>
      <c r="D59" s="116">
        <f>'FICHA DE CARACTERIZACION A 3.1'!M62</f>
        <v>60.2</v>
      </c>
      <c r="E59" s="121">
        <f t="shared" si="0"/>
        <v>2.7075649905550052E-2</v>
      </c>
      <c r="F59" s="116">
        <f>'FICHA DE CARACTERIZACION A 3.1'!M116</f>
        <v>114.2</v>
      </c>
      <c r="G59" s="121">
        <f t="shared" si="1"/>
        <v>2.2331729829089934E-2</v>
      </c>
      <c r="H59" s="116">
        <f>'FICHA DE CARACTERIZACION A 3.1'!M170</f>
        <v>168.2</v>
      </c>
      <c r="I59" s="121">
        <f t="shared" si="2"/>
        <v>2.094697252733569E-2</v>
      </c>
      <c r="J59" s="116">
        <f t="shared" si="3"/>
        <v>342.6</v>
      </c>
      <c r="K59" s="121">
        <f t="shared" si="4"/>
        <v>2.229452723368255E-2</v>
      </c>
    </row>
    <row r="60" spans="1:11" ht="24.75" customHeight="1" thickBot="1" x14ac:dyDescent="0.35">
      <c r="A60" s="203"/>
      <c r="B60" s="26" t="s">
        <v>77</v>
      </c>
      <c r="C60" s="27"/>
      <c r="D60" s="116">
        <f>'FICHA DE CARACTERIZACION A 3.1'!M63</f>
        <v>61.2</v>
      </c>
      <c r="E60" s="121">
        <f t="shared" si="0"/>
        <v>2.7525411531888092E-2</v>
      </c>
      <c r="F60" s="116">
        <f>'FICHA DE CARACTERIZACION A 3.1'!M117</f>
        <v>115.2</v>
      </c>
      <c r="G60" s="121">
        <f t="shared" si="1"/>
        <v>2.2527279127067954E-2</v>
      </c>
      <c r="H60" s="116">
        <f>'FICHA DE CARACTERIZACION A 3.1'!M171</f>
        <v>169.2</v>
      </c>
      <c r="I60" s="121">
        <f t="shared" si="2"/>
        <v>2.1071508630351954E-2</v>
      </c>
      <c r="J60" s="116">
        <f t="shared" si="3"/>
        <v>345.6</v>
      </c>
      <c r="K60" s="121">
        <f t="shared" si="4"/>
        <v>2.248975076462548E-2</v>
      </c>
    </row>
    <row r="61" spans="1:11" ht="24.75" customHeight="1" thickBot="1" x14ac:dyDescent="0.35">
      <c r="A61" s="217" t="s">
        <v>41</v>
      </c>
      <c r="B61" s="193" t="s">
        <v>78</v>
      </c>
      <c r="C61" s="194"/>
      <c r="D61" s="116">
        <f>'FICHA DE CARACTERIZACION A 3.1'!M64</f>
        <v>62.2</v>
      </c>
      <c r="E61" s="121">
        <f t="shared" si="0"/>
        <v>2.7975173158226136E-2</v>
      </c>
      <c r="F61" s="116">
        <f>'FICHA DE CARACTERIZACION A 3.1'!M118</f>
        <v>116.2</v>
      </c>
      <c r="G61" s="121">
        <f t="shared" si="1"/>
        <v>2.2722828425045975E-2</v>
      </c>
      <c r="H61" s="116">
        <f>'FICHA DE CARACTERIZACION A 3.1'!M172</f>
        <v>170.2</v>
      </c>
      <c r="I61" s="121">
        <f t="shared" si="2"/>
        <v>2.1196044733368218E-2</v>
      </c>
      <c r="J61" s="116">
        <f t="shared" si="3"/>
        <v>348.6</v>
      </c>
      <c r="K61" s="121">
        <f t="shared" si="4"/>
        <v>2.268497429556841E-2</v>
      </c>
    </row>
    <row r="62" spans="1:11" ht="24.75" customHeight="1" thickBot="1" x14ac:dyDescent="0.35">
      <c r="A62" s="218"/>
      <c r="B62" s="204" t="s">
        <v>79</v>
      </c>
      <c r="C62" s="205"/>
      <c r="D62" s="116">
        <f>'FICHA DE CARACTERIZACION A 3.1'!M65</f>
        <v>63.2</v>
      </c>
      <c r="E62" s="121">
        <f t="shared" si="0"/>
        <v>2.8424934784564176E-2</v>
      </c>
      <c r="F62" s="116">
        <f>'FICHA DE CARACTERIZACION A 3.1'!M119</f>
        <v>117.2</v>
      </c>
      <c r="G62" s="121">
        <f t="shared" si="1"/>
        <v>2.2918377723023995E-2</v>
      </c>
      <c r="H62" s="116">
        <f>'FICHA DE CARACTERIZACION A 3.1'!M173</f>
        <v>171.2</v>
      </c>
      <c r="I62" s="121">
        <f t="shared" si="2"/>
        <v>2.1320580836384481E-2</v>
      </c>
      <c r="J62" s="116">
        <f t="shared" si="3"/>
        <v>351.6</v>
      </c>
      <c r="K62" s="121">
        <f t="shared" si="4"/>
        <v>2.2880197826511336E-2</v>
      </c>
    </row>
    <row r="63" spans="1:11" ht="24.75" customHeight="1" thickBot="1" x14ac:dyDescent="0.35">
      <c r="A63" s="218"/>
      <c r="B63" s="193" t="s">
        <v>46</v>
      </c>
      <c r="C63" s="194"/>
      <c r="D63" s="116">
        <f>'FICHA DE CARACTERIZACION A 3.1'!M66</f>
        <v>64.2</v>
      </c>
      <c r="E63" s="121">
        <f t="shared" si="0"/>
        <v>2.8874696410902217E-2</v>
      </c>
      <c r="F63" s="116">
        <f>'FICHA DE CARACTERIZACION A 3.1'!M120</f>
        <v>118.2</v>
      </c>
      <c r="G63" s="121">
        <f t="shared" si="1"/>
        <v>2.3113927021002015E-2</v>
      </c>
      <c r="H63" s="116">
        <f>'FICHA DE CARACTERIZACION A 3.1'!M174</f>
        <v>172.2</v>
      </c>
      <c r="I63" s="121">
        <f t="shared" si="2"/>
        <v>2.1445116939400748E-2</v>
      </c>
      <c r="J63" s="116">
        <f t="shared" si="3"/>
        <v>354.6</v>
      </c>
      <c r="K63" s="121">
        <f t="shared" si="4"/>
        <v>2.3075421357454266E-2</v>
      </c>
    </row>
    <row r="64" spans="1:11" ht="24.75" customHeight="1" thickBot="1" x14ac:dyDescent="0.35">
      <c r="A64" s="218"/>
      <c r="B64" s="193" t="s">
        <v>47</v>
      </c>
      <c r="C64" s="194"/>
      <c r="D64" s="116">
        <f>'FICHA DE CARACTERIZACION A 3.1'!M67</f>
        <v>65.2</v>
      </c>
      <c r="E64" s="121">
        <f t="shared" si="0"/>
        <v>2.9324458037240257E-2</v>
      </c>
      <c r="F64" s="116">
        <f>'FICHA DE CARACTERIZACION A 3.1'!M121</f>
        <v>119.2</v>
      </c>
      <c r="G64" s="121">
        <f t="shared" si="1"/>
        <v>2.3309476318980036E-2</v>
      </c>
      <c r="H64" s="116">
        <f>'FICHA DE CARACTERIZACION A 3.1'!M175</f>
        <v>173.2</v>
      </c>
      <c r="I64" s="121">
        <f t="shared" si="2"/>
        <v>2.1569653042417012E-2</v>
      </c>
      <c r="J64" s="116">
        <f t="shared" si="3"/>
        <v>357.6</v>
      </c>
      <c r="K64" s="121">
        <f t="shared" si="4"/>
        <v>2.3270644888397196E-2</v>
      </c>
    </row>
    <row r="65" spans="1:11" ht="24.75" customHeight="1" thickBot="1" x14ac:dyDescent="0.35">
      <c r="A65" s="218"/>
      <c r="B65" s="7" t="s">
        <v>49</v>
      </c>
      <c r="C65" s="19"/>
      <c r="D65" s="116">
        <f>'FICHA DE CARACTERIZACION A 3.1'!M68</f>
        <v>66.2</v>
      </c>
      <c r="E65" s="121">
        <f t="shared" si="0"/>
        <v>2.9774219663578298E-2</v>
      </c>
      <c r="F65" s="116">
        <f>'FICHA DE CARACTERIZACION A 3.1'!M122</f>
        <v>120.2</v>
      </c>
      <c r="G65" s="121">
        <f t="shared" si="1"/>
        <v>2.3505025616958056E-2</v>
      </c>
      <c r="H65" s="116">
        <f>'FICHA DE CARACTERIZACION A 3.1'!M176</f>
        <v>174.2</v>
      </c>
      <c r="I65" s="121">
        <f t="shared" si="2"/>
        <v>2.1694189145433276E-2</v>
      </c>
      <c r="J65" s="116">
        <f t="shared" si="3"/>
        <v>360.6</v>
      </c>
      <c r="K65" s="121">
        <f t="shared" si="4"/>
        <v>2.3465868419340126E-2</v>
      </c>
    </row>
    <row r="66" spans="1:11" ht="24.75" customHeight="1" thickBot="1" x14ac:dyDescent="0.35">
      <c r="A66" s="219"/>
      <c r="B66" s="204" t="s">
        <v>80</v>
      </c>
      <c r="C66" s="205"/>
      <c r="D66" s="116">
        <f>'FICHA DE CARACTERIZACION A 3.1'!M69</f>
        <v>67.2</v>
      </c>
      <c r="E66" s="121">
        <f t="shared" si="0"/>
        <v>3.0223981289916338E-2</v>
      </c>
      <c r="F66" s="116">
        <f>'FICHA DE CARACTERIZACION A 3.1'!M123</f>
        <v>121.2</v>
      </c>
      <c r="G66" s="121">
        <f t="shared" si="1"/>
        <v>2.3700574914936077E-2</v>
      </c>
      <c r="H66" s="116">
        <f>'FICHA DE CARACTERIZACION A 3.1'!M177</f>
        <v>175.2</v>
      </c>
      <c r="I66" s="121">
        <f t="shared" si="2"/>
        <v>2.1818725248449539E-2</v>
      </c>
      <c r="J66" s="116">
        <f t="shared" si="3"/>
        <v>363.6</v>
      </c>
      <c r="K66" s="121">
        <f t="shared" si="4"/>
        <v>2.3661091950283056E-2</v>
      </c>
    </row>
    <row r="67" spans="1:11" ht="24.75" customHeight="1" thickBot="1" x14ac:dyDescent="0.35">
      <c r="A67" s="206" t="s">
        <v>50</v>
      </c>
      <c r="B67" s="207"/>
      <c r="C67" s="207"/>
      <c r="D67" s="122">
        <f t="shared" ref="D67:K67" si="5">SUM(D13:D66)</f>
        <v>2223.4000000000005</v>
      </c>
      <c r="E67" s="123">
        <f t="shared" si="5"/>
        <v>0.99999999999999978</v>
      </c>
      <c r="F67" s="122">
        <f t="shared" si="5"/>
        <v>5113.7999999999956</v>
      </c>
      <c r="G67" s="123">
        <f t="shared" si="5"/>
        <v>1.0000000000000013</v>
      </c>
      <c r="H67" s="122">
        <f t="shared" si="5"/>
        <v>8029.7999999999938</v>
      </c>
      <c r="I67" s="123">
        <f t="shared" si="5"/>
        <v>1.0000000000000004</v>
      </c>
      <c r="J67" s="122">
        <f t="shared" si="5"/>
        <v>15367.000000000013</v>
      </c>
      <c r="K67" s="123">
        <f t="shared" si="5"/>
        <v>0.99999999999999922</v>
      </c>
    </row>
    <row r="70" spans="1:11" ht="24.75" customHeight="1" x14ac:dyDescent="0.3">
      <c r="A70" s="10"/>
    </row>
    <row r="71" spans="1:11" ht="24.75" customHeight="1" x14ac:dyDescent="0.3">
      <c r="A71" s="11" t="s">
        <v>53</v>
      </c>
      <c r="B71" s="12"/>
      <c r="C71" s="12"/>
      <c r="D71" s="118"/>
      <c r="E71" s="12"/>
      <c r="F71" s="12"/>
      <c r="G71" s="12"/>
      <c r="H71" s="12"/>
      <c r="I71" s="12"/>
      <c r="J71" s="12"/>
      <c r="K71" s="12"/>
    </row>
    <row r="72" spans="1:11" ht="24.75" customHeight="1" x14ac:dyDescent="0.3">
      <c r="A72" s="13" t="s">
        <v>54</v>
      </c>
      <c r="B72" s="12"/>
      <c r="C72" s="12"/>
      <c r="D72" s="118"/>
      <c r="E72" s="12"/>
      <c r="F72" s="12"/>
      <c r="G72" s="12"/>
      <c r="H72" s="12"/>
      <c r="I72" s="12"/>
      <c r="J72" s="12"/>
      <c r="K72" s="12"/>
    </row>
    <row r="73" spans="1:11" ht="24.75" customHeight="1" x14ac:dyDescent="0.3">
      <c r="A73" s="11" t="s">
        <v>55</v>
      </c>
      <c r="B73" s="12"/>
      <c r="C73" s="12"/>
      <c r="D73" s="118"/>
      <c r="E73" s="12"/>
      <c r="F73" s="12"/>
      <c r="G73" s="12"/>
      <c r="H73" s="12"/>
      <c r="I73" s="12"/>
      <c r="J73" s="12"/>
      <c r="K73" s="12"/>
    </row>
    <row r="74" spans="1:11" ht="24.75" customHeight="1" x14ac:dyDescent="0.3">
      <c r="A74" s="11" t="s">
        <v>56</v>
      </c>
      <c r="B74" s="12"/>
      <c r="C74" s="12"/>
      <c r="D74" s="118"/>
      <c r="E74" s="12"/>
      <c r="F74" s="12"/>
      <c r="G74" s="12"/>
      <c r="H74" s="12"/>
      <c r="I74" s="12"/>
      <c r="J74" s="12"/>
      <c r="K74" s="12"/>
    </row>
    <row r="75" spans="1:11" ht="24.75" customHeight="1" x14ac:dyDescent="0.3">
      <c r="A75" s="13" t="s">
        <v>57</v>
      </c>
      <c r="B75" s="12"/>
      <c r="C75" s="12"/>
      <c r="D75" s="118"/>
      <c r="E75" s="12"/>
      <c r="F75" s="12"/>
      <c r="G75" s="12"/>
      <c r="H75" s="12"/>
      <c r="I75" s="12"/>
      <c r="J75" s="12"/>
      <c r="K75" s="12"/>
    </row>
    <row r="76" spans="1:11" ht="24.75" customHeight="1" x14ac:dyDescent="0.3">
      <c r="A76" s="12"/>
      <c r="B76" s="12"/>
      <c r="C76" s="12"/>
      <c r="D76" s="118"/>
      <c r="E76" s="12"/>
      <c r="F76" s="12"/>
      <c r="G76" s="12"/>
      <c r="H76" s="12"/>
      <c r="I76" s="12"/>
      <c r="J76" s="12"/>
      <c r="K76" s="12"/>
    </row>
  </sheetData>
  <mergeCells count="58">
    <mergeCell ref="A67:C67"/>
    <mergeCell ref="A41:A45"/>
    <mergeCell ref="B41:C41"/>
    <mergeCell ref="B42:C42"/>
    <mergeCell ref="B44:C44"/>
    <mergeCell ref="B45:C45"/>
    <mergeCell ref="B64:C64"/>
    <mergeCell ref="B66:C66"/>
    <mergeCell ref="A61:A66"/>
    <mergeCell ref="B61:C61"/>
    <mergeCell ref="B62:C62"/>
    <mergeCell ref="B55:C55"/>
    <mergeCell ref="B56:C56"/>
    <mergeCell ref="A59:A60"/>
    <mergeCell ref="B57:C57"/>
    <mergeCell ref="A23:B24"/>
    <mergeCell ref="B63:C63"/>
    <mergeCell ref="B51:C51"/>
    <mergeCell ref="B54:C54"/>
    <mergeCell ref="A46:A52"/>
    <mergeCell ref="B46:C46"/>
    <mergeCell ref="B47:C47"/>
    <mergeCell ref="B48:C48"/>
    <mergeCell ref="A25:A40"/>
    <mergeCell ref="B49:C49"/>
    <mergeCell ref="B50:C50"/>
    <mergeCell ref="B53:C53"/>
    <mergeCell ref="B52:C52"/>
    <mergeCell ref="A55:A56"/>
    <mergeCell ref="B58:C58"/>
    <mergeCell ref="A1:K1"/>
    <mergeCell ref="A2:K2"/>
    <mergeCell ref="A4:C4"/>
    <mergeCell ref="H4:J4"/>
    <mergeCell ref="A5:C5"/>
    <mergeCell ref="H5:J5"/>
    <mergeCell ref="A3:C3"/>
    <mergeCell ref="A6:C6"/>
    <mergeCell ref="H6:J6"/>
    <mergeCell ref="A8:C8"/>
    <mergeCell ref="H8:J8"/>
    <mergeCell ref="A9:C9"/>
    <mergeCell ref="H9:J9"/>
    <mergeCell ref="A7:B7"/>
    <mergeCell ref="H7:J7"/>
    <mergeCell ref="A21:A22"/>
    <mergeCell ref="B21:B22"/>
    <mergeCell ref="A17:B18"/>
    <mergeCell ref="A10:K10"/>
    <mergeCell ref="A11:C12"/>
    <mergeCell ref="D11:E11"/>
    <mergeCell ref="H11:I11"/>
    <mergeCell ref="J11:K11"/>
    <mergeCell ref="A13:A15"/>
    <mergeCell ref="F11:G11"/>
    <mergeCell ref="A16:C16"/>
    <mergeCell ref="A19:A20"/>
    <mergeCell ref="B19:B20"/>
  </mergeCells>
  <hyperlinks>
    <hyperlink ref="A72" r:id="rId1"/>
    <hyperlink ref="A75"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2"/>
  <sheetViews>
    <sheetView workbookViewId="0">
      <selection activeCell="I16" sqref="I16"/>
    </sheetView>
  </sheetViews>
  <sheetFormatPr baseColWidth="10" defaultColWidth="14.44140625" defaultRowHeight="14.4" x14ac:dyDescent="0.3"/>
  <cols>
    <col min="1" max="1" width="8.88671875" style="125" bestFit="1" customWidth="1"/>
    <col min="2" max="2" width="6.33203125" style="125" bestFit="1" customWidth="1"/>
    <col min="3" max="3" width="12.44140625" style="125" bestFit="1" customWidth="1"/>
    <col min="4" max="4" width="14.5546875" style="125" bestFit="1" customWidth="1"/>
    <col min="5" max="5" width="13.5546875" style="125" bestFit="1" customWidth="1"/>
    <col min="6" max="6" width="11.6640625" style="125" bestFit="1" customWidth="1"/>
    <col min="7" max="7" width="11.33203125" style="125" bestFit="1" customWidth="1"/>
    <col min="8" max="8" width="12.6640625" style="125" bestFit="1" customWidth="1"/>
    <col min="9" max="9" width="14.44140625" style="125"/>
    <col min="10" max="10" width="12.88671875" style="125" bestFit="1" customWidth="1"/>
    <col min="11" max="11" width="13.5546875" style="125" bestFit="1" customWidth="1"/>
    <col min="12" max="12" width="13.44140625" style="125" bestFit="1" customWidth="1"/>
    <col min="13" max="13" width="12.5546875" style="125" bestFit="1" customWidth="1"/>
    <col min="14" max="14" width="16.88671875" style="125" bestFit="1" customWidth="1"/>
    <col min="15" max="15" width="11.88671875" style="126" bestFit="1" customWidth="1"/>
    <col min="16" max="16" width="10.109375" style="125" bestFit="1" customWidth="1"/>
    <col min="17" max="17" width="11.88671875" style="125" bestFit="1" customWidth="1"/>
    <col min="18" max="18" width="11.33203125" style="125" bestFit="1" customWidth="1"/>
    <col min="19" max="19" width="14.109375" style="125" bestFit="1" customWidth="1"/>
    <col min="20" max="20" width="10" style="125" bestFit="1" customWidth="1"/>
    <col min="21" max="21" width="15.44140625" style="125" bestFit="1" customWidth="1"/>
    <col min="22" max="22" width="14.44140625" style="125"/>
    <col min="23" max="23" width="9.5546875" style="125" bestFit="1" customWidth="1"/>
    <col min="24" max="24" width="12.33203125" style="125" bestFit="1" customWidth="1"/>
    <col min="25" max="25" width="9.33203125" style="125" bestFit="1" customWidth="1"/>
    <col min="26" max="26" width="11.33203125" style="125" bestFit="1" customWidth="1"/>
    <col min="27" max="28" width="13" style="125" bestFit="1" customWidth="1"/>
    <col min="29" max="29" width="12.5546875" style="125" bestFit="1" customWidth="1"/>
    <col min="30" max="31" width="14.44140625" style="125"/>
    <col min="32" max="32" width="12.109375" style="125" bestFit="1" customWidth="1"/>
    <col min="33" max="33" width="11.88671875" style="125" bestFit="1" customWidth="1"/>
    <col min="34" max="34" width="13.6640625" style="125" bestFit="1" customWidth="1"/>
    <col min="35" max="35" width="13" style="125" bestFit="1" customWidth="1"/>
    <col min="36" max="37" width="12.88671875" style="125" bestFit="1" customWidth="1"/>
    <col min="38" max="38" width="13.33203125" style="125" bestFit="1" customWidth="1"/>
    <col min="39" max="39" width="10.6640625" style="125" bestFit="1" customWidth="1"/>
    <col min="40" max="40" width="11.5546875" style="130" bestFit="1" customWidth="1"/>
    <col min="41" max="41" width="7.5546875" style="130" bestFit="1" customWidth="1"/>
    <col min="42" max="42" width="8.44140625" style="130" bestFit="1" customWidth="1"/>
    <col min="43" max="43" width="10.109375" style="130" bestFit="1" customWidth="1"/>
    <col min="44" max="44" width="12.88671875" style="130" bestFit="1" customWidth="1"/>
    <col min="45" max="45" width="9.6640625" style="130" bestFit="1" customWidth="1"/>
    <col min="46" max="47" width="14.44140625" style="130"/>
    <col min="48" max="48" width="14.109375" style="130" bestFit="1" customWidth="1"/>
    <col min="49" max="49" width="9" style="130" bestFit="1" customWidth="1"/>
    <col min="50" max="50" width="10.88671875" style="130" bestFit="1" customWidth="1"/>
    <col min="51" max="51" width="10.109375" style="130" bestFit="1" customWidth="1"/>
    <col min="52" max="53" width="10" style="130" bestFit="1" customWidth="1"/>
    <col min="54" max="54" width="10.44140625" style="130" bestFit="1" customWidth="1"/>
    <col min="55" max="55" width="7.88671875" style="130" bestFit="1" customWidth="1"/>
    <col min="56" max="56" width="13.88671875" style="125" bestFit="1" customWidth="1"/>
    <col min="57" max="57" width="13.33203125" style="125" bestFit="1" customWidth="1"/>
    <col min="58" max="58" width="14" style="125" bestFit="1" customWidth="1"/>
    <col min="59" max="59" width="11.33203125" style="125" bestFit="1" customWidth="1"/>
    <col min="60" max="60" width="12.5546875" style="125" bestFit="1" customWidth="1"/>
    <col min="61" max="61" width="11.33203125" style="125" bestFit="1" customWidth="1"/>
    <col min="62" max="63" width="13.88671875" style="125" bestFit="1" customWidth="1"/>
    <col min="64" max="64" width="14" style="125" bestFit="1" customWidth="1"/>
    <col min="65" max="65" width="11.33203125" style="125" bestFit="1" customWidth="1"/>
    <col min="66" max="66" width="13.44140625" style="125" bestFit="1" customWidth="1"/>
    <col min="67" max="67" width="11.33203125" style="125" bestFit="1" customWidth="1"/>
    <col min="68" max="68" width="12.44140625" style="125" bestFit="1" customWidth="1"/>
    <col min="69" max="69" width="12.5546875" style="125" bestFit="1" customWidth="1"/>
    <col min="70" max="70" width="12.44140625" style="125" bestFit="1" customWidth="1"/>
    <col min="71" max="71" width="13.44140625" style="125" bestFit="1" customWidth="1"/>
    <col min="72" max="72" width="12.44140625" style="125" bestFit="1" customWidth="1"/>
    <col min="73" max="73" width="13.44140625" style="125" bestFit="1" customWidth="1"/>
    <col min="74" max="77" width="12.44140625" style="125" bestFit="1" customWidth="1"/>
    <col min="78" max="79" width="13.5546875" style="125" bestFit="1" customWidth="1"/>
    <col min="80" max="81" width="12.44140625" style="125" bestFit="1" customWidth="1"/>
    <col min="82" max="83" width="13.109375" style="125" bestFit="1" customWidth="1"/>
    <col min="84" max="84" width="18.44140625" style="125" bestFit="1" customWidth="1"/>
    <col min="85" max="85" width="21.6640625" style="125" bestFit="1" customWidth="1"/>
    <col min="86" max="86" width="13.33203125" style="125" bestFit="1" customWidth="1"/>
    <col min="87" max="87" width="14" style="125" bestFit="1" customWidth="1"/>
    <col min="88" max="88" width="13" style="125" bestFit="1" customWidth="1"/>
    <col min="89" max="89" width="16.88671875" style="125" bestFit="1" customWidth="1"/>
    <col min="90" max="90" width="11.33203125" style="125" bestFit="1" customWidth="1"/>
    <col min="91" max="91" width="14" style="125" bestFit="1" customWidth="1"/>
    <col min="92" max="92" width="21.5546875" style="125" bestFit="1" customWidth="1"/>
    <col min="93" max="93" width="22.109375" style="125" bestFit="1" customWidth="1"/>
    <col min="94" max="94" width="13.88671875" style="125" bestFit="1" customWidth="1"/>
    <col min="95" max="95" width="12.88671875" style="125" bestFit="1" customWidth="1"/>
    <col min="96" max="96" width="13.5546875" style="125" bestFit="1" customWidth="1"/>
    <col min="97" max="97" width="11.88671875" style="125" bestFit="1" customWidth="1"/>
    <col min="98" max="98" width="13.33203125" style="125" bestFit="1" customWidth="1"/>
    <col min="99" max="99" width="14.44140625" style="125"/>
    <col min="100" max="100" width="13.44140625" style="125" bestFit="1" customWidth="1"/>
    <col min="101" max="101" width="11.33203125" style="125" bestFit="1" customWidth="1"/>
    <col min="102" max="102" width="12.33203125" style="125" bestFit="1" customWidth="1"/>
    <col min="103" max="103" width="13.44140625" style="125" bestFit="1" customWidth="1"/>
    <col min="104" max="104" width="12.6640625" style="125" bestFit="1" customWidth="1"/>
    <col min="105" max="105" width="14.109375" style="125" bestFit="1" customWidth="1"/>
    <col min="106" max="106" width="13.88671875" style="125" bestFit="1" customWidth="1"/>
    <col min="107" max="107" width="14.44140625" style="125"/>
    <col min="108" max="108" width="11.6640625" style="125" bestFit="1" customWidth="1"/>
    <col min="109" max="109" width="13.6640625" style="125" bestFit="1" customWidth="1"/>
    <col min="110" max="110" width="13.88671875" style="125" bestFit="1" customWidth="1"/>
    <col min="111" max="111" width="13.33203125" style="125" bestFit="1" customWidth="1"/>
    <col min="112" max="112" width="14" style="125" bestFit="1" customWidth="1"/>
    <col min="113" max="113" width="11.6640625" style="125" bestFit="1" customWidth="1"/>
    <col min="114" max="114" width="12.5546875" style="125" bestFit="1" customWidth="1"/>
    <col min="115" max="115" width="11.6640625" style="125" bestFit="1" customWidth="1"/>
    <col min="116" max="117" width="13.88671875" style="125" bestFit="1" customWidth="1"/>
    <col min="118" max="118" width="14" style="125" bestFit="1" customWidth="1"/>
    <col min="119" max="119" width="11.6640625" style="125" bestFit="1" customWidth="1"/>
    <col min="120" max="120" width="13.44140625" style="125" bestFit="1" customWidth="1"/>
    <col min="121" max="121" width="11.6640625" style="125" bestFit="1" customWidth="1"/>
    <col min="122" max="122" width="12.44140625" style="125" bestFit="1" customWidth="1"/>
    <col min="123" max="123" width="12.5546875" style="125" bestFit="1" customWidth="1"/>
    <col min="124" max="124" width="12.44140625" style="125" bestFit="1" customWidth="1"/>
    <col min="125" max="125" width="13.44140625" style="125" bestFit="1" customWidth="1"/>
    <col min="126" max="126" width="12.44140625" style="125" bestFit="1" customWidth="1"/>
    <col min="127" max="127" width="13.44140625" style="125" bestFit="1" customWidth="1"/>
    <col min="128" max="131" width="12.44140625" style="125" bestFit="1" customWidth="1"/>
    <col min="132" max="133" width="13.5546875" style="125" bestFit="1" customWidth="1"/>
    <col min="134" max="135" width="12.44140625" style="125" bestFit="1" customWidth="1"/>
    <col min="136" max="137" width="13.109375" style="125" bestFit="1" customWidth="1"/>
    <col min="138" max="138" width="18.44140625" style="125" bestFit="1" customWidth="1"/>
    <col min="139" max="139" width="21.6640625" style="125" bestFit="1" customWidth="1"/>
    <col min="140" max="140" width="13.33203125" style="125" bestFit="1" customWidth="1"/>
    <col min="141" max="141" width="14" style="125" bestFit="1" customWidth="1"/>
    <col min="142" max="142" width="13" style="125" bestFit="1" customWidth="1"/>
    <col min="143" max="143" width="16.88671875" style="125" bestFit="1" customWidth="1"/>
    <col min="144" max="144" width="11.6640625" style="125" bestFit="1" customWidth="1"/>
    <col min="145" max="145" width="14" style="125" bestFit="1" customWidth="1"/>
    <col min="146" max="146" width="21.5546875" style="125" bestFit="1" customWidth="1"/>
    <col min="147" max="147" width="22.5546875" style="125" bestFit="1" customWidth="1"/>
    <col min="148" max="148" width="13.88671875" style="125" bestFit="1" customWidth="1"/>
    <col min="149" max="149" width="12.88671875" style="125" bestFit="1" customWidth="1"/>
    <col min="150" max="150" width="13.5546875" style="125" bestFit="1" customWidth="1"/>
    <col min="151" max="151" width="11.88671875" style="125" bestFit="1" customWidth="1"/>
    <col min="152" max="152" width="13.33203125" style="125" bestFit="1" customWidth="1"/>
    <col min="153" max="153" width="14.44140625" style="125"/>
    <col min="154" max="154" width="13.44140625" style="125" bestFit="1" customWidth="1"/>
    <col min="155" max="155" width="11.6640625" style="125" bestFit="1" customWidth="1"/>
    <col min="156" max="156" width="12.33203125" style="125" bestFit="1" customWidth="1"/>
    <col min="157" max="157" width="13.44140625" style="125" bestFit="1" customWidth="1"/>
    <col min="158" max="158" width="12.6640625" style="125" bestFit="1" customWidth="1"/>
    <col min="159" max="159" width="14.109375" style="125" bestFit="1" customWidth="1"/>
    <col min="160" max="160" width="13.88671875" style="125" bestFit="1" customWidth="1"/>
    <col min="161" max="161" width="14.44140625" style="125"/>
    <col min="162" max="162" width="11.6640625" style="125" bestFit="1" customWidth="1"/>
    <col min="163" max="163" width="13.6640625" style="125" bestFit="1" customWidth="1"/>
    <col min="164" max="166" width="14.44140625" style="125"/>
    <col min="167" max="167" width="13.109375" style="125" bestFit="1" customWidth="1"/>
    <col min="168" max="169" width="12.88671875" style="125" bestFit="1" customWidth="1"/>
    <col min="170" max="171" width="13.88671875" style="125" bestFit="1" customWidth="1"/>
    <col min="172" max="172" width="14" style="125" bestFit="1" customWidth="1"/>
    <col min="173" max="173" width="12.88671875" style="125" bestFit="1" customWidth="1"/>
    <col min="174" max="174" width="13.44140625" style="125" bestFit="1" customWidth="1"/>
    <col min="175" max="178" width="12.88671875" style="125" bestFit="1" customWidth="1"/>
    <col min="179" max="179" width="13.44140625" style="125" bestFit="1" customWidth="1"/>
    <col min="180" max="180" width="12.88671875" style="125" bestFit="1" customWidth="1"/>
    <col min="181" max="181" width="13.44140625" style="125" bestFit="1" customWidth="1"/>
    <col min="182" max="185" width="12.88671875" style="125" bestFit="1" customWidth="1"/>
    <col min="186" max="187" width="13.5546875" style="125" bestFit="1" customWidth="1"/>
    <col min="188" max="189" width="12.88671875" style="125" bestFit="1" customWidth="1"/>
    <col min="190" max="191" width="13.109375" style="125" bestFit="1" customWidth="1"/>
    <col min="192" max="192" width="20.44140625" style="125" bestFit="1" customWidth="1"/>
    <col min="193" max="193" width="22.109375" style="125" bestFit="1" customWidth="1"/>
    <col min="194" max="194" width="13.33203125" style="125" bestFit="1" customWidth="1"/>
    <col min="195" max="195" width="16.6640625" style="125" bestFit="1" customWidth="1"/>
    <col min="196" max="196" width="13" style="125" bestFit="1" customWidth="1"/>
    <col min="197" max="197" width="20" style="125" bestFit="1" customWidth="1"/>
    <col min="198" max="198" width="12.88671875" style="125" bestFit="1" customWidth="1"/>
    <col min="199" max="199" width="14" style="125" bestFit="1" customWidth="1"/>
    <col min="200" max="200" width="22.109375" style="125" bestFit="1" customWidth="1"/>
    <col min="201" max="201" width="22.5546875" style="125" bestFit="1" customWidth="1"/>
    <col min="202" max="202" width="13.88671875" style="125" bestFit="1" customWidth="1"/>
    <col min="203" max="203" width="12.88671875" style="125" bestFit="1" customWidth="1"/>
    <col min="204" max="204" width="13.5546875" style="125" bestFit="1" customWidth="1"/>
    <col min="205" max="205" width="13.6640625" style="125" bestFit="1" customWidth="1"/>
    <col min="206" max="206" width="13.33203125" style="125" bestFit="1" customWidth="1"/>
    <col min="207" max="207" width="14.44140625" style="125"/>
    <col min="208" max="208" width="13.44140625" style="125" bestFit="1" customWidth="1"/>
    <col min="209" max="210" width="12.88671875" style="125" bestFit="1" customWidth="1"/>
    <col min="211" max="211" width="13.44140625" style="125" bestFit="1" customWidth="1"/>
    <col min="212" max="16384" width="14.44140625" style="125"/>
  </cols>
  <sheetData>
    <row r="1" spans="1:217" s="235" customFormat="1" ht="90.75" customHeight="1" x14ac:dyDescent="0.3">
      <c r="A1" s="127" t="s">
        <v>116</v>
      </c>
      <c r="B1" s="127" t="s">
        <v>113</v>
      </c>
      <c r="C1" s="127" t="s">
        <v>114</v>
      </c>
      <c r="D1" s="127" t="s">
        <v>110</v>
      </c>
      <c r="E1" s="127" t="s">
        <v>65</v>
      </c>
      <c r="F1" s="127" t="s">
        <v>5</v>
      </c>
      <c r="G1" s="127" t="s">
        <v>61</v>
      </c>
      <c r="H1" s="127" t="s">
        <v>7</v>
      </c>
      <c r="I1" s="127" t="s">
        <v>62</v>
      </c>
      <c r="J1" s="127" t="s">
        <v>3</v>
      </c>
      <c r="K1" s="127" t="s">
        <v>4</v>
      </c>
      <c r="L1" s="127" t="s">
        <v>6</v>
      </c>
      <c r="M1" s="127" t="s">
        <v>8</v>
      </c>
      <c r="N1" s="127" t="s">
        <v>63</v>
      </c>
      <c r="O1" s="93" t="s">
        <v>111</v>
      </c>
      <c r="P1" s="127" t="s">
        <v>123</v>
      </c>
      <c r="Q1" s="127" t="s">
        <v>124</v>
      </c>
      <c r="R1" s="127" t="s">
        <v>117</v>
      </c>
      <c r="S1" s="127" t="s">
        <v>120</v>
      </c>
      <c r="T1" s="127" t="s">
        <v>118</v>
      </c>
      <c r="U1" s="127" t="s">
        <v>121</v>
      </c>
      <c r="V1" s="127" t="s">
        <v>119</v>
      </c>
      <c r="W1" s="127" t="s">
        <v>122</v>
      </c>
      <c r="X1" s="221" t="s">
        <v>291</v>
      </c>
      <c r="Y1" s="221" t="s">
        <v>293</v>
      </c>
      <c r="Z1" s="221" t="s">
        <v>295</v>
      </c>
      <c r="AA1" s="221" t="s">
        <v>297</v>
      </c>
      <c r="AB1" s="221" t="s">
        <v>299</v>
      </c>
      <c r="AC1" s="221" t="s">
        <v>301</v>
      </c>
      <c r="AD1" s="221" t="s">
        <v>303</v>
      </c>
      <c r="AE1" s="221" t="s">
        <v>354</v>
      </c>
      <c r="AF1" s="221" t="s">
        <v>305</v>
      </c>
      <c r="AG1" s="221" t="s">
        <v>307</v>
      </c>
      <c r="AH1" s="221" t="s">
        <v>309</v>
      </c>
      <c r="AI1" s="221" t="s">
        <v>311</v>
      </c>
      <c r="AJ1" s="221" t="s">
        <v>313</v>
      </c>
      <c r="AK1" s="221" t="s">
        <v>315</v>
      </c>
      <c r="AL1" s="221" t="s">
        <v>317</v>
      </c>
      <c r="AM1" s="221" t="s">
        <v>319</v>
      </c>
      <c r="AN1" s="222" t="s">
        <v>292</v>
      </c>
      <c r="AO1" s="222" t="s">
        <v>294</v>
      </c>
      <c r="AP1" s="222" t="s">
        <v>296</v>
      </c>
      <c r="AQ1" s="222" t="s">
        <v>298</v>
      </c>
      <c r="AR1" s="222" t="s">
        <v>300</v>
      </c>
      <c r="AS1" s="222" t="s">
        <v>302</v>
      </c>
      <c r="AT1" s="222" t="s">
        <v>304</v>
      </c>
      <c r="AU1" s="222" t="s">
        <v>355</v>
      </c>
      <c r="AV1" s="222" t="s">
        <v>306</v>
      </c>
      <c r="AW1" s="222" t="s">
        <v>308</v>
      </c>
      <c r="AX1" s="222" t="s">
        <v>310</v>
      </c>
      <c r="AY1" s="222" t="s">
        <v>312</v>
      </c>
      <c r="AZ1" s="222" t="s">
        <v>314</v>
      </c>
      <c r="BA1" s="222" t="s">
        <v>316</v>
      </c>
      <c r="BB1" s="222" t="s">
        <v>318</v>
      </c>
      <c r="BC1" s="222" t="s">
        <v>320</v>
      </c>
      <c r="BD1" s="223" t="s">
        <v>128</v>
      </c>
      <c r="BE1" s="223" t="s">
        <v>129</v>
      </c>
      <c r="BF1" s="223" t="s">
        <v>130</v>
      </c>
      <c r="BG1" s="224" t="s">
        <v>131</v>
      </c>
      <c r="BH1" s="225" t="s">
        <v>132</v>
      </c>
      <c r="BI1" s="225" t="s">
        <v>133</v>
      </c>
      <c r="BJ1" s="226" t="s">
        <v>134</v>
      </c>
      <c r="BK1" s="226" t="s">
        <v>135</v>
      </c>
      <c r="BL1" s="226" t="s">
        <v>136</v>
      </c>
      <c r="BM1" s="226" t="s">
        <v>137</v>
      </c>
      <c r="BN1" s="227" t="s">
        <v>138</v>
      </c>
      <c r="BO1" s="227" t="s">
        <v>139</v>
      </c>
      <c r="BP1" s="224" t="s">
        <v>140</v>
      </c>
      <c r="BQ1" s="224" t="s">
        <v>141</v>
      </c>
      <c r="BR1" s="224" t="s">
        <v>142</v>
      </c>
      <c r="BS1" s="224" t="s">
        <v>143</v>
      </c>
      <c r="BT1" s="224" t="s">
        <v>144</v>
      </c>
      <c r="BU1" s="224" t="s">
        <v>145</v>
      </c>
      <c r="BV1" s="224" t="s">
        <v>146</v>
      </c>
      <c r="BW1" s="224" t="s">
        <v>147</v>
      </c>
      <c r="BX1" s="224" t="s">
        <v>148</v>
      </c>
      <c r="BY1" s="224" t="s">
        <v>149</v>
      </c>
      <c r="BZ1" s="224" t="s">
        <v>150</v>
      </c>
      <c r="CA1" s="224" t="s">
        <v>151</v>
      </c>
      <c r="CB1" s="224" t="s">
        <v>152</v>
      </c>
      <c r="CC1" s="224" t="s">
        <v>153</v>
      </c>
      <c r="CD1" s="224" t="s">
        <v>154</v>
      </c>
      <c r="CE1" s="224" t="s">
        <v>155</v>
      </c>
      <c r="CF1" s="228" t="s">
        <v>156</v>
      </c>
      <c r="CG1" s="224" t="s">
        <v>157</v>
      </c>
      <c r="CH1" s="224" t="s">
        <v>158</v>
      </c>
      <c r="CI1" s="224" t="s">
        <v>159</v>
      </c>
      <c r="CJ1" s="224" t="s">
        <v>160</v>
      </c>
      <c r="CK1" s="229" t="s">
        <v>161</v>
      </c>
      <c r="CL1" s="229" t="s">
        <v>162</v>
      </c>
      <c r="CM1" s="229" t="s">
        <v>163</v>
      </c>
      <c r="CN1" s="229" t="s">
        <v>164</v>
      </c>
      <c r="CO1" s="229" t="s">
        <v>165</v>
      </c>
      <c r="CP1" s="229" t="s">
        <v>166</v>
      </c>
      <c r="CQ1" s="229" t="s">
        <v>167</v>
      </c>
      <c r="CR1" s="230" t="s">
        <v>168</v>
      </c>
      <c r="CS1" s="231" t="s">
        <v>169</v>
      </c>
      <c r="CT1" s="231" t="s">
        <v>170</v>
      </c>
      <c r="CU1" s="231" t="s">
        <v>171</v>
      </c>
      <c r="CV1" s="232" t="s">
        <v>172</v>
      </c>
      <c r="CW1" s="233" t="s">
        <v>173</v>
      </c>
      <c r="CX1" s="234" t="s">
        <v>174</v>
      </c>
      <c r="CY1" s="234" t="s">
        <v>175</v>
      </c>
      <c r="CZ1" s="234" t="s">
        <v>176</v>
      </c>
      <c r="DA1" s="234" t="s">
        <v>177</v>
      </c>
      <c r="DB1" s="234" t="s">
        <v>178</v>
      </c>
      <c r="DC1" s="234" t="s">
        <v>179</v>
      </c>
      <c r="DD1" s="234" t="s">
        <v>180</v>
      </c>
      <c r="DE1" s="234" t="s">
        <v>181</v>
      </c>
      <c r="DF1" s="223" t="s">
        <v>182</v>
      </c>
      <c r="DG1" s="223" t="s">
        <v>183</v>
      </c>
      <c r="DH1" s="223" t="s">
        <v>184</v>
      </c>
      <c r="DI1" s="224" t="s">
        <v>185</v>
      </c>
      <c r="DJ1" s="225" t="s">
        <v>186</v>
      </c>
      <c r="DK1" s="225" t="s">
        <v>187</v>
      </c>
      <c r="DL1" s="226" t="s">
        <v>188</v>
      </c>
      <c r="DM1" s="226" t="s">
        <v>189</v>
      </c>
      <c r="DN1" s="226" t="s">
        <v>190</v>
      </c>
      <c r="DO1" s="226" t="s">
        <v>191</v>
      </c>
      <c r="DP1" s="227" t="s">
        <v>192</v>
      </c>
      <c r="DQ1" s="227" t="s">
        <v>193</v>
      </c>
      <c r="DR1" s="224" t="s">
        <v>194</v>
      </c>
      <c r="DS1" s="224" t="s">
        <v>195</v>
      </c>
      <c r="DT1" s="224" t="s">
        <v>196</v>
      </c>
      <c r="DU1" s="224" t="s">
        <v>197</v>
      </c>
      <c r="DV1" s="224" t="s">
        <v>198</v>
      </c>
      <c r="DW1" s="224" t="s">
        <v>199</v>
      </c>
      <c r="DX1" s="224" t="s">
        <v>200</v>
      </c>
      <c r="DY1" s="224" t="s">
        <v>201</v>
      </c>
      <c r="DZ1" s="224" t="s">
        <v>202</v>
      </c>
      <c r="EA1" s="224" t="s">
        <v>203</v>
      </c>
      <c r="EB1" s="224" t="s">
        <v>204</v>
      </c>
      <c r="EC1" s="224" t="s">
        <v>205</v>
      </c>
      <c r="ED1" s="224" t="s">
        <v>206</v>
      </c>
      <c r="EE1" s="224" t="s">
        <v>207</v>
      </c>
      <c r="EF1" s="224" t="s">
        <v>208</v>
      </c>
      <c r="EG1" s="224" t="s">
        <v>209</v>
      </c>
      <c r="EH1" s="228" t="s">
        <v>210</v>
      </c>
      <c r="EI1" s="224" t="s">
        <v>211</v>
      </c>
      <c r="EJ1" s="224" t="s">
        <v>212</v>
      </c>
      <c r="EK1" s="224" t="s">
        <v>213</v>
      </c>
      <c r="EL1" s="224" t="s">
        <v>214</v>
      </c>
      <c r="EM1" s="229" t="s">
        <v>215</v>
      </c>
      <c r="EN1" s="229" t="s">
        <v>216</v>
      </c>
      <c r="EO1" s="229" t="s">
        <v>217</v>
      </c>
      <c r="EP1" s="229" t="s">
        <v>218</v>
      </c>
      <c r="EQ1" s="229" t="s">
        <v>219</v>
      </c>
      <c r="ER1" s="229" t="s">
        <v>220</v>
      </c>
      <c r="ES1" s="229" t="s">
        <v>221</v>
      </c>
      <c r="ET1" s="230" t="s">
        <v>222</v>
      </c>
      <c r="EU1" s="231" t="s">
        <v>223</v>
      </c>
      <c r="EV1" s="231" t="s">
        <v>224</v>
      </c>
      <c r="EW1" s="231" t="s">
        <v>225</v>
      </c>
      <c r="EX1" s="232" t="s">
        <v>226</v>
      </c>
      <c r="EY1" s="233" t="s">
        <v>227</v>
      </c>
      <c r="EZ1" s="234" t="s">
        <v>228</v>
      </c>
      <c r="FA1" s="234" t="s">
        <v>229</v>
      </c>
      <c r="FB1" s="234" t="s">
        <v>230</v>
      </c>
      <c r="FC1" s="234" t="s">
        <v>231</v>
      </c>
      <c r="FD1" s="234" t="s">
        <v>232</v>
      </c>
      <c r="FE1" s="234" t="s">
        <v>233</v>
      </c>
      <c r="FF1" s="234" t="s">
        <v>234</v>
      </c>
      <c r="FG1" s="234" t="s">
        <v>235</v>
      </c>
      <c r="FH1" s="223" t="s">
        <v>236</v>
      </c>
      <c r="FI1" s="223" t="s">
        <v>237</v>
      </c>
      <c r="FJ1" s="223" t="s">
        <v>238</v>
      </c>
      <c r="FK1" s="224" t="s">
        <v>239</v>
      </c>
      <c r="FL1" s="225" t="s">
        <v>240</v>
      </c>
      <c r="FM1" s="225" t="s">
        <v>241</v>
      </c>
      <c r="FN1" s="226" t="s">
        <v>242</v>
      </c>
      <c r="FO1" s="226" t="s">
        <v>243</v>
      </c>
      <c r="FP1" s="226" t="s">
        <v>244</v>
      </c>
      <c r="FQ1" s="226" t="s">
        <v>245</v>
      </c>
      <c r="FR1" s="227" t="s">
        <v>246</v>
      </c>
      <c r="FS1" s="227" t="s">
        <v>247</v>
      </c>
      <c r="FT1" s="224" t="s">
        <v>248</v>
      </c>
      <c r="FU1" s="224" t="s">
        <v>249</v>
      </c>
      <c r="FV1" s="224" t="s">
        <v>250</v>
      </c>
      <c r="FW1" s="224" t="s">
        <v>251</v>
      </c>
      <c r="FX1" s="224" t="s">
        <v>252</v>
      </c>
      <c r="FY1" s="224" t="s">
        <v>253</v>
      </c>
      <c r="FZ1" s="224" t="s">
        <v>254</v>
      </c>
      <c r="GA1" s="224" t="s">
        <v>255</v>
      </c>
      <c r="GB1" s="224" t="s">
        <v>256</v>
      </c>
      <c r="GC1" s="224" t="s">
        <v>257</v>
      </c>
      <c r="GD1" s="224" t="s">
        <v>258</v>
      </c>
      <c r="GE1" s="224" t="s">
        <v>259</v>
      </c>
      <c r="GF1" s="224" t="s">
        <v>260</v>
      </c>
      <c r="GG1" s="224" t="s">
        <v>261</v>
      </c>
      <c r="GH1" s="224" t="s">
        <v>262</v>
      </c>
      <c r="GI1" s="224" t="s">
        <v>263</v>
      </c>
      <c r="GJ1" s="228" t="s">
        <v>264</v>
      </c>
      <c r="GK1" s="224" t="s">
        <v>265</v>
      </c>
      <c r="GL1" s="224" t="s">
        <v>266</v>
      </c>
      <c r="GM1" s="224" t="s">
        <v>267</v>
      </c>
      <c r="GN1" s="224" t="s">
        <v>268</v>
      </c>
      <c r="GO1" s="229" t="s">
        <v>269</v>
      </c>
      <c r="GP1" s="229" t="s">
        <v>270</v>
      </c>
      <c r="GQ1" s="229" t="s">
        <v>271</v>
      </c>
      <c r="GR1" s="229" t="s">
        <v>272</v>
      </c>
      <c r="GS1" s="229" t="s">
        <v>273</v>
      </c>
      <c r="GT1" s="229" t="s">
        <v>274</v>
      </c>
      <c r="GU1" s="229" t="s">
        <v>275</v>
      </c>
      <c r="GV1" s="230" t="s">
        <v>276</v>
      </c>
      <c r="GW1" s="231" t="s">
        <v>277</v>
      </c>
      <c r="GX1" s="231" t="s">
        <v>278</v>
      </c>
      <c r="GY1" s="231" t="s">
        <v>279</v>
      </c>
      <c r="GZ1" s="232" t="s">
        <v>280</v>
      </c>
      <c r="HA1" s="233" t="s">
        <v>281</v>
      </c>
      <c r="HB1" s="234" t="s">
        <v>282</v>
      </c>
      <c r="HC1" s="234" t="s">
        <v>283</v>
      </c>
      <c r="HD1" s="234" t="s">
        <v>284</v>
      </c>
      <c r="HE1" s="234" t="s">
        <v>285</v>
      </c>
      <c r="HF1" s="234" t="s">
        <v>286</v>
      </c>
      <c r="HG1" s="234" t="s">
        <v>287</v>
      </c>
      <c r="HH1" s="234" t="s">
        <v>288</v>
      </c>
      <c r="HI1" s="234" t="s">
        <v>289</v>
      </c>
    </row>
    <row r="2" spans="1:217" s="132" customFormat="1" ht="28.8" x14ac:dyDescent="0.3">
      <c r="B2" s="132" t="e">
        <f>#REF!+1</f>
        <v>#REF!</v>
      </c>
      <c r="C2" s="132" t="str">
        <f>'FICHA DE CARACTERIZACION A 3.1'!B1</f>
        <v>MATERIA ORGANICA</v>
      </c>
      <c r="D2" s="132" t="str">
        <f>'FICHA DE CARACTERIZACION A 3.1'!B2</f>
        <v>PTR Tafalla</v>
      </c>
      <c r="E2" s="132" t="str">
        <f>'FICHA DE CARACTERIZACION A 3.1'!B3</f>
        <v>Mairaga</v>
      </c>
      <c r="F2" s="132" t="str">
        <f>'FICHA DE CARACTERIZACION A 3.1'!B4</f>
        <v>Fracciones</v>
      </c>
      <c r="G2" s="133">
        <f>'FICHA DE CARACTERIZACION A 3.1'!B5</f>
        <v>5200</v>
      </c>
      <c r="H2" s="132" t="str">
        <f>'FICHA DE CARACTERIZACION A 3.1'!B6</f>
        <v>MATERIA ORGANICA</v>
      </c>
      <c r="I2" s="132" t="str">
        <f>'FICHA DE CARACTERIZACION A 3.1'!B7</f>
        <v>Contenedor</v>
      </c>
      <c r="J2" s="134" t="str">
        <f>'FICHA DE CARACTERIZACION A 3.1'!B8</f>
        <v>CARACTERIZACIONES S.L.</v>
      </c>
      <c r="K2" s="132">
        <f>'FICHA DE CARACTERIZACION A 3.1'!B9</f>
        <v>45071.4375</v>
      </c>
      <c r="L2" s="132" t="str">
        <f>'FICHA DE CARACTERIZACION A 3.1'!B10</f>
        <v>Contenedor</v>
      </c>
      <c r="M2" s="132" t="str">
        <f>'FICHA DE CARACTERIZACION A 3.1'!B11</f>
        <v>5896 HYT</v>
      </c>
      <c r="N2" s="132">
        <f>'FICHA DE CARACTERIZACION A 3.1'!L2</f>
        <v>0</v>
      </c>
      <c r="O2" s="132">
        <f>'FICHA DE CARACTERIZACION A 3.1'!B14</f>
        <v>15367.000000000024</v>
      </c>
      <c r="P2" s="132">
        <f>GETPIVOTDATA("Suma de TOTAL",'FICHA DE CARACTERIZACION A 3.1'!$A$201,"Solicitado/impropio","Impropio")</f>
        <v>9787.5999999999985</v>
      </c>
      <c r="Q2" s="132">
        <f>GETPIVOTDATA("Suma de TOTAL",'FICHA DE CARACTERIZACION A 3.1'!$A$201,"Solicitado/impropio","Impropio")</f>
        <v>9787.5999999999985</v>
      </c>
      <c r="R2" s="132">
        <f>GETPIVOTDATA("Suma de TOTAL",'FICHA DE CARACTERIZACION A 3.1'!$A$185,"ORIGEN","DOMÉSTICOS")</f>
        <v>2223.4000000000005</v>
      </c>
      <c r="S2" s="132">
        <f>GETPIVOTDATA("Suma de TOTAL",'FICHA DE CARACTERIZACION A 3.1'!$A$185,"ORIGEN","DOMÉSTICOS")</f>
        <v>2223.4000000000005</v>
      </c>
      <c r="T2" s="132">
        <f>GETPIVOTDATA("Suma de TOTAL",'FICHA DE CARACTERIZACION A 3.1'!$A$185,"ORIGEN","COMERCIALES")</f>
        <v>5113.7999999999956</v>
      </c>
      <c r="U2" s="132">
        <f>GETPIVOTDATA("Suma de TOTAL",'FICHA DE CARACTERIZACION A 3.1'!$A$185,"ORIGEN","COMERCIALES")</f>
        <v>5113.7999999999956</v>
      </c>
      <c r="V2" s="132">
        <f>GETPIVOTDATA("Suma de TOTAL",'FICHA DE CARACTERIZACION A 3.1'!$A$185,"ORIGEN","INDUSTRIALES / AGRICOLAS")</f>
        <v>8029.7999999999938</v>
      </c>
      <c r="W2" s="132">
        <f>GETPIVOTDATA("Suma de TOTAL",'FICHA DE CARACTERIZACION A 3.1'!$A$185,"ORIGEN","INDUSTRIALES / AGRICOLAS")</f>
        <v>8029.7999999999938</v>
      </c>
      <c r="X2" s="132">
        <f>GETPIVOTDATA("Suma de TOTAL",'FICHA DE CARACTERIZACION A 3.1'!$A$218,"NIVEL 0","Papel – cartón")</f>
        <v>648.40000000000009</v>
      </c>
      <c r="Y2" s="132">
        <f>GETPIVOTDATA("Suma de TOTAL",'FICHA DE CARACTERIZACION A 3.1'!$A$218,"NIVEL 0","Brik")</f>
        <v>213.60000000000002</v>
      </c>
      <c r="Z2" s="132">
        <f>GETPIVOTDATA("Suma de TOTAL",'FICHA DE CARACTERIZACION A 3.1'!$A$218,"NIVEL 0","Vidrio ")</f>
        <v>436.2</v>
      </c>
      <c r="AA2" s="132">
        <f>GETPIVOTDATA("Suma de TOTAL",'FICHA DE CARACTERIZACION A 3.1'!$A$218,"NIVEL 0","Metales férricos")</f>
        <v>448.2</v>
      </c>
      <c r="AB2" s="132">
        <f>GETPIVOTDATA("Suma de TOTAL",'FICHA DE CARACTERIZACION A 3.1'!$A$218,"NIVEL 0","Metales no férricos")</f>
        <v>460.2</v>
      </c>
      <c r="AC2" s="132">
        <f>GETPIVOTDATA("Suma de TOTAL",'FICHA DE CARACTERIZACION A 3.1'!$A$218,"NIVEL 0","Madera")</f>
        <v>472.2</v>
      </c>
      <c r="AD2" s="132">
        <f>GETPIVOTDATA("Suma de TOTAL",'FICHA DE CARACTERIZACION A 3.1'!$A$218,"NIVEL 0","Plásticos (excepto SUP*)")</f>
        <v>4209.5999999999976</v>
      </c>
      <c r="AE2" s="132">
        <f>GETPIVOTDATA("Suma de TOTAL",'FICHA DE CARACTERIZACION A 3.1'!$A$218,"NIVEL 0","* Plásticos de un solo uso (SUP) [iii]")</f>
        <v>1473.0000000000002</v>
      </c>
      <c r="AF2" s="132">
        <f>GETPIVOTDATA("Suma de TOTAL",'FICHA DE CARACTERIZACION A 3.1'!$A$218,"NIVEL 0","Biorresiduos")</f>
        <v>2188.2000000000003</v>
      </c>
      <c r="AG2" s="132">
        <f>GETPIVOTDATA("Suma de TOTAL",'FICHA DE CARACTERIZACION A 3.1'!$A$218,"NIVEL 0","ACEITE")</f>
        <v>324.60000000000002</v>
      </c>
      <c r="AH2" s="132">
        <f>GETPIVOTDATA("Suma de TOTAL",'FICHA DE CARACTERIZACION A 3.1'!$A$218,"NIVEL 0","RAEE [iv]")</f>
        <v>327.60000000000002</v>
      </c>
      <c r="AI2" s="132">
        <f>GETPIVOTDATA("Suma de TOTAL",'FICHA DE CARACTERIZACION A 3.1'!$A$218,"NIVEL 0","Baterias")</f>
        <v>664.2</v>
      </c>
      <c r="AJ2" s="132">
        <f>GETPIVOTDATA("Suma de TOTAL",'FICHA DE CARACTERIZACION A 3.1'!$A$218,"NIVEL 0","Textiles")</f>
        <v>336.6</v>
      </c>
      <c r="AK2" s="132">
        <f>GETPIVOTDATA("Suma de TOTAL",'FICHA DE CARACTERIZACION A 3.1'!$A$218,"NIVEL 0","Textiles sanitarios")</f>
        <v>339.6</v>
      </c>
      <c r="AL2" s="132">
        <f>GETPIVOTDATA("Suma de TOTAL",'FICHA DE CARACTERIZACION A 3.1'!$A$218,"NIVEL 0","Tierras y RCDs")</f>
        <v>688.2</v>
      </c>
      <c r="AM2" s="132">
        <f>GETPIVOTDATA("Suma de TOTAL",'FICHA DE CARACTERIZACION A 3.1'!$A$218,"NIVEL 0","Otros")</f>
        <v>2136.6000000000004</v>
      </c>
      <c r="AN2" s="135">
        <f>GETPIVOTDATA("Suma de %",'FICHA DE CARACTERIZACION A 3.1'!$A$218,"NIVEL 0","Papel – cartón")</f>
        <v>4.2194312487798466E-2</v>
      </c>
      <c r="AO2" s="135">
        <f>GETPIVOTDATA("Suma de %",'FICHA DE CARACTERIZACION A 3.1'!$A$218,"NIVEL 0","Brik")</f>
        <v>1.3899915403136572E-2</v>
      </c>
      <c r="AP2" s="135">
        <f>GETPIVOTDATA("Suma de %",'FICHA DE CARACTERIZACION A 3.1'!$A$218,"NIVEL 0","Vidrio ")</f>
        <v>2.8385501399101926E-2</v>
      </c>
      <c r="AQ2" s="135">
        <f>GETPIVOTDATA("Suma de %",'FICHA DE CARACTERIZACION A 3.1'!$A$218,"NIVEL 0","Metales férricos")</f>
        <v>2.9166395522873645E-2</v>
      </c>
      <c r="AR2" s="135">
        <f>GETPIVOTDATA("Suma de %",'FICHA DE CARACTERIZACION A 3.1'!$A$218,"NIVEL 0","Metales no férricos")</f>
        <v>2.9947289646645364E-2</v>
      </c>
      <c r="AS2" s="135">
        <f>GETPIVOTDATA("Suma de %",'FICHA DE CARACTERIZACION A 3.1'!$A$218,"NIVEL 0","Madera")</f>
        <v>3.0728183770417077E-2</v>
      </c>
      <c r="AT2" s="135">
        <f>GETPIVOTDATA("Suma de %",'FICHA DE CARACTERIZACION A 3.1'!$A$218,"NIVEL 0","Plásticos (excepto SUP*)")</f>
        <v>0.27393765861911845</v>
      </c>
      <c r="AU2" s="135">
        <f>GETPIVOTDATA("Suma de %",'FICHA DE CARACTERIZACION A 3.1'!$A$218,"NIVEL 0","* Plásticos de un solo uso (SUP) [iii]")</f>
        <v>9.5854753692978301E-2</v>
      </c>
      <c r="AV2" s="135">
        <f>GETPIVOTDATA("Suma de %",'FICHA DE CARACTERIZACION A 3.1'!$A$218,"NIVEL 0","Biorresiduos")</f>
        <v>0.14239604346977267</v>
      </c>
      <c r="AW2" s="135">
        <f>GETPIVOTDATA("Suma de %",'FICHA DE CARACTERIZACION A 3.1'!$A$218,"NIVEL 0","ACEITE")</f>
        <v>2.1123186048024954E-2</v>
      </c>
      <c r="AX2" s="135">
        <f>GETPIVOTDATA("Suma de %",'FICHA DE CARACTERIZACION A 3.1'!$A$218,"NIVEL 0","RAEE [iv]")</f>
        <v>2.1318409578967884E-2</v>
      </c>
      <c r="AY2" s="135">
        <f>GETPIVOTDATA("Suma de %",'FICHA DE CARACTERIZACION A 3.1'!$A$218,"NIVEL 0","Baterias")</f>
        <v>4.3222489750764558E-2</v>
      </c>
      <c r="AZ2" s="135">
        <f>GETPIVOTDATA("Suma de %",'FICHA DE CARACTERIZACION A 3.1'!$A$218,"NIVEL 0","Textiles")</f>
        <v>2.1904080171796673E-2</v>
      </c>
      <c r="BA2" s="135">
        <f>GETPIVOTDATA("Suma de %",'FICHA DE CARACTERIZACION A 3.1'!$A$218,"NIVEL 0","Textiles sanitarios")</f>
        <v>2.2099303702739603E-2</v>
      </c>
      <c r="BB2" s="135">
        <f>GETPIVOTDATA("Suma de %",'FICHA DE CARACTERIZACION A 3.1'!$A$218,"NIVEL 0","Tierras y RCDs")</f>
        <v>4.4784277998307989E-2</v>
      </c>
      <c r="BC2" s="135">
        <f>GETPIVOTDATA("Suma de %",'FICHA DE CARACTERIZACION A 3.1'!$A$218,"NIVEL 0","Otros")</f>
        <v>0.1390381987375543</v>
      </c>
      <c r="BD2" s="132">
        <f>'FICHA DE CARACTERIZACION A 3.1'!M16</f>
        <v>38.799999999999997</v>
      </c>
      <c r="BE2" s="132">
        <f>'FICHA DE CARACTERIZACION A 3.1'!M17</f>
        <v>16.2</v>
      </c>
      <c r="BF2" s="132">
        <f>'FICHA DE CARACTERIZACION A 3.1'!M18</f>
        <v>16.2</v>
      </c>
      <c r="BG2" s="132">
        <f>'FICHA DE CARACTERIZACION A 3.1'!M19</f>
        <v>17.2</v>
      </c>
      <c r="BH2" s="132">
        <f>'FICHA DE CARACTERIZACION A 3.1'!M20</f>
        <v>18.2</v>
      </c>
      <c r="BI2" s="132">
        <f>'FICHA DE CARACTERIZACION A 3.1'!M21</f>
        <v>19.2</v>
      </c>
      <c r="BJ2" s="132">
        <f>'FICHA DE CARACTERIZACION A 3.1'!M22</f>
        <v>20.2</v>
      </c>
      <c r="BK2" s="132">
        <f>'FICHA DE CARACTERIZACION A 3.1'!M23</f>
        <v>21.2</v>
      </c>
      <c r="BL2" s="132">
        <f>'FICHA DE CARACTERIZACION A 3.1'!M24</f>
        <v>22.2</v>
      </c>
      <c r="BM2" s="132">
        <f>'FICHA DE CARACTERIZACION A 3.1'!M25</f>
        <v>23.2</v>
      </c>
      <c r="BN2" s="132">
        <f>'FICHA DE CARACTERIZACION A 3.1'!M26</f>
        <v>24.2</v>
      </c>
      <c r="BO2" s="132">
        <f>'FICHA DE CARACTERIZACION A 3.1'!M27</f>
        <v>25.2</v>
      </c>
      <c r="BP2" s="132">
        <f>'FICHA DE CARACTERIZACION A 3.1'!M28</f>
        <v>26.2</v>
      </c>
      <c r="BQ2" s="132">
        <f>'FICHA DE CARACTERIZACION A 3.1'!M29</f>
        <v>27.2</v>
      </c>
      <c r="BR2" s="132">
        <f>'FICHA DE CARACTERIZACION A 3.1'!M30</f>
        <v>28.2</v>
      </c>
      <c r="BS2" s="132">
        <f>'FICHA DE CARACTERIZACION A 3.1'!M31</f>
        <v>29.2</v>
      </c>
      <c r="BT2" s="132">
        <f>'FICHA DE CARACTERIZACION A 3.1'!M32</f>
        <v>30.2</v>
      </c>
      <c r="BU2" s="132">
        <f>'FICHA DE CARACTERIZACION A 3.1'!M33</f>
        <v>31.200000000000003</v>
      </c>
      <c r="BV2" s="132" t="s">
        <v>356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3"/>
  <sheetViews>
    <sheetView workbookViewId="0">
      <selection activeCell="A11" sqref="A11"/>
    </sheetView>
  </sheetViews>
  <sheetFormatPr baseColWidth="10" defaultColWidth="23.44140625" defaultRowHeight="35.25" customHeight="1" x14ac:dyDescent="0.3"/>
  <cols>
    <col min="1" max="1" width="27.109375" bestFit="1" customWidth="1"/>
  </cols>
  <sheetData>
    <row r="2" spans="1:12" s="128" customFormat="1" ht="35.25" customHeight="1" x14ac:dyDescent="0.3">
      <c r="A2" s="127" t="s">
        <v>114</v>
      </c>
      <c r="B2" s="127" t="s">
        <v>110</v>
      </c>
      <c r="C2" s="127" t="s">
        <v>65</v>
      </c>
      <c r="D2" s="127" t="s">
        <v>5</v>
      </c>
      <c r="E2" s="127" t="s">
        <v>61</v>
      </c>
      <c r="F2" s="127" t="s">
        <v>7</v>
      </c>
      <c r="G2" s="127" t="s">
        <v>62</v>
      </c>
      <c r="H2" s="127" t="s">
        <v>3</v>
      </c>
      <c r="I2" s="127" t="s">
        <v>4</v>
      </c>
      <c r="J2" s="127" t="s">
        <v>6</v>
      </c>
      <c r="K2" s="127" t="s">
        <v>8</v>
      </c>
      <c r="L2" s="127" t="s">
        <v>63</v>
      </c>
    </row>
    <row r="3" spans="1:12" ht="35.25" customHeight="1" x14ac:dyDescent="0.3">
      <c r="A3" s="93" t="s">
        <v>103</v>
      </c>
      <c r="B3" s="93" t="s">
        <v>321</v>
      </c>
      <c r="C3" s="93" t="s">
        <v>330</v>
      </c>
      <c r="D3" s="94" t="s">
        <v>345</v>
      </c>
      <c r="F3" s="93" t="s">
        <v>103</v>
      </c>
      <c r="G3" s="93" t="s">
        <v>347</v>
      </c>
    </row>
    <row r="4" spans="1:12" ht="35.25" customHeight="1" x14ac:dyDescent="0.3">
      <c r="A4" s="94" t="s">
        <v>106</v>
      </c>
      <c r="B4" s="94" t="s">
        <v>322</v>
      </c>
      <c r="C4" s="94" t="s">
        <v>338</v>
      </c>
      <c r="D4" s="94" t="s">
        <v>346</v>
      </c>
      <c r="F4" s="94" t="s">
        <v>106</v>
      </c>
      <c r="G4" s="94" t="s">
        <v>348</v>
      </c>
    </row>
    <row r="5" spans="1:12" ht="35.25" customHeight="1" x14ac:dyDescent="0.3">
      <c r="A5" s="93" t="s">
        <v>108</v>
      </c>
      <c r="B5" s="93" t="s">
        <v>323</v>
      </c>
      <c r="C5" s="93" t="s">
        <v>339</v>
      </c>
      <c r="F5" s="93" t="s">
        <v>108</v>
      </c>
    </row>
    <row r="6" spans="1:12" ht="35.25" customHeight="1" x14ac:dyDescent="0.3">
      <c r="A6" s="93" t="s">
        <v>112</v>
      </c>
      <c r="B6" s="93" t="s">
        <v>324</v>
      </c>
      <c r="C6" s="93" t="s">
        <v>340</v>
      </c>
      <c r="F6" s="93" t="s">
        <v>112</v>
      </c>
    </row>
    <row r="7" spans="1:12" ht="35.25" customHeight="1" x14ac:dyDescent="0.3">
      <c r="A7" s="93" t="s">
        <v>107</v>
      </c>
      <c r="B7" s="93" t="s">
        <v>325</v>
      </c>
      <c r="C7" s="93" t="s">
        <v>334</v>
      </c>
      <c r="F7" s="93" t="s">
        <v>107</v>
      </c>
    </row>
    <row r="8" spans="1:12" ht="35.25" customHeight="1" x14ac:dyDescent="0.3">
      <c r="B8" s="93" t="s">
        <v>326</v>
      </c>
      <c r="C8" s="94" t="s">
        <v>335</v>
      </c>
    </row>
    <row r="9" spans="1:12" ht="35.25" customHeight="1" x14ac:dyDescent="0.3">
      <c r="B9" s="94" t="s">
        <v>327</v>
      </c>
      <c r="C9" s="93" t="s">
        <v>336</v>
      </c>
    </row>
    <row r="10" spans="1:12" ht="35.25" customHeight="1" x14ac:dyDescent="0.3">
      <c r="B10" s="93" t="s">
        <v>328</v>
      </c>
      <c r="C10" s="93" t="s">
        <v>332</v>
      </c>
    </row>
    <row r="11" spans="1:12" ht="35.25" customHeight="1" x14ac:dyDescent="0.3">
      <c r="B11" s="93" t="s">
        <v>329</v>
      </c>
      <c r="C11" s="93" t="s">
        <v>337</v>
      </c>
    </row>
    <row r="12" spans="1:12" ht="35.25" customHeight="1" x14ac:dyDescent="0.3">
      <c r="C12" s="94" t="s">
        <v>331</v>
      </c>
    </row>
    <row r="13" spans="1:12" ht="35.25" customHeight="1" x14ac:dyDescent="0.3">
      <c r="C13" s="93" t="s">
        <v>341</v>
      </c>
    </row>
    <row r="14" spans="1:12" ht="35.25" customHeight="1" x14ac:dyDescent="0.3">
      <c r="C14" s="93" t="s">
        <v>342</v>
      </c>
    </row>
    <row r="15" spans="1:12" ht="35.25" customHeight="1" x14ac:dyDescent="0.3">
      <c r="C15" s="93" t="s">
        <v>343</v>
      </c>
    </row>
    <row r="16" spans="1:12" ht="35.25" customHeight="1" x14ac:dyDescent="0.3">
      <c r="C16" s="93" t="s">
        <v>333</v>
      </c>
    </row>
    <row r="17" spans="1:8" ht="35.25" customHeight="1" x14ac:dyDescent="0.3">
      <c r="C17" s="94" t="s">
        <v>344</v>
      </c>
    </row>
    <row r="20" spans="1:8" ht="35.25" customHeight="1" x14ac:dyDescent="0.3">
      <c r="A20" s="41" t="s">
        <v>14</v>
      </c>
      <c r="B20" t="s">
        <v>290</v>
      </c>
      <c r="C20" t="s">
        <v>13</v>
      </c>
      <c r="D20" t="str">
        <f>B20&amp;" "&amp;A20</f>
        <v>Total Papel – cartón</v>
      </c>
      <c r="E20" t="str">
        <f>C20&amp;" "&amp;A20</f>
        <v>% Papel – cartón</v>
      </c>
      <c r="G20" t="s">
        <v>291</v>
      </c>
      <c r="H20" t="s">
        <v>292</v>
      </c>
    </row>
    <row r="21" spans="1:8" ht="35.25" customHeight="1" x14ac:dyDescent="0.3">
      <c r="A21" s="48" t="s">
        <v>18</v>
      </c>
      <c r="B21" t="s">
        <v>290</v>
      </c>
      <c r="C21" t="s">
        <v>13</v>
      </c>
      <c r="D21" t="str">
        <f t="shared" ref="D21:D36" si="0">B21&amp;" "&amp;A21</f>
        <v>Total Brik</v>
      </c>
      <c r="E21" t="str">
        <f t="shared" ref="E21:E36" si="1">C21&amp;" "&amp;A21</f>
        <v>% Brik</v>
      </c>
      <c r="G21" t="s">
        <v>293</v>
      </c>
      <c r="H21" t="s">
        <v>294</v>
      </c>
    </row>
    <row r="22" spans="1:8" ht="35.25" customHeight="1" x14ac:dyDescent="0.3">
      <c r="A22" s="44" t="s">
        <v>51</v>
      </c>
      <c r="B22" t="s">
        <v>290</v>
      </c>
      <c r="C22" t="s">
        <v>13</v>
      </c>
      <c r="D22" t="str">
        <f t="shared" si="0"/>
        <v xml:space="preserve">Total Vidrio </v>
      </c>
      <c r="E22" t="str">
        <f t="shared" si="1"/>
        <v xml:space="preserve">% Vidrio </v>
      </c>
      <c r="G22" t="s">
        <v>295</v>
      </c>
      <c r="H22" t="s">
        <v>296</v>
      </c>
    </row>
    <row r="23" spans="1:8" ht="35.25" customHeight="1" x14ac:dyDescent="0.3">
      <c r="A23" s="42" t="s">
        <v>21</v>
      </c>
      <c r="B23" t="s">
        <v>290</v>
      </c>
      <c r="C23" t="s">
        <v>13</v>
      </c>
      <c r="D23" t="str">
        <f t="shared" si="0"/>
        <v>Total Metales férricos</v>
      </c>
      <c r="E23" t="str">
        <f t="shared" si="1"/>
        <v>% Metales férricos</v>
      </c>
      <c r="G23" t="s">
        <v>297</v>
      </c>
      <c r="H23" t="s">
        <v>298</v>
      </c>
    </row>
    <row r="24" spans="1:8" ht="35.25" customHeight="1" x14ac:dyDescent="0.3">
      <c r="A24" s="42" t="s">
        <v>23</v>
      </c>
      <c r="B24" t="s">
        <v>290</v>
      </c>
      <c r="C24" t="s">
        <v>13</v>
      </c>
      <c r="D24" t="str">
        <f t="shared" si="0"/>
        <v>Total Metales no férricos</v>
      </c>
      <c r="E24" t="str">
        <f t="shared" si="1"/>
        <v>% Metales no férricos</v>
      </c>
      <c r="G24" t="s">
        <v>299</v>
      </c>
      <c r="H24" t="s">
        <v>300</v>
      </c>
    </row>
    <row r="25" spans="1:8" ht="35.25" customHeight="1" x14ac:dyDescent="0.3">
      <c r="A25" s="44" t="s">
        <v>51</v>
      </c>
      <c r="B25" t="s">
        <v>290</v>
      </c>
      <c r="C25" t="s">
        <v>13</v>
      </c>
      <c r="D25" t="str">
        <f t="shared" si="0"/>
        <v xml:space="preserve">Total Vidrio </v>
      </c>
      <c r="E25" t="str">
        <f t="shared" si="1"/>
        <v xml:space="preserve">% Vidrio </v>
      </c>
      <c r="G25" t="s">
        <v>295</v>
      </c>
      <c r="H25" t="s">
        <v>296</v>
      </c>
    </row>
    <row r="26" spans="1:8" ht="35.25" customHeight="1" x14ac:dyDescent="0.3">
      <c r="A26" s="42" t="s">
        <v>21</v>
      </c>
      <c r="B26" t="s">
        <v>290</v>
      </c>
      <c r="C26" t="s">
        <v>13</v>
      </c>
      <c r="D26" t="str">
        <f t="shared" si="0"/>
        <v>Total Metales férricos</v>
      </c>
      <c r="E26" t="str">
        <f t="shared" si="1"/>
        <v>% Metales férricos</v>
      </c>
      <c r="G26" t="s">
        <v>297</v>
      </c>
      <c r="H26" t="s">
        <v>298</v>
      </c>
    </row>
    <row r="27" spans="1:8" ht="35.25" customHeight="1" x14ac:dyDescent="0.3">
      <c r="A27" s="57" t="s">
        <v>25</v>
      </c>
      <c r="B27" t="s">
        <v>290</v>
      </c>
      <c r="C27" t="s">
        <v>13</v>
      </c>
      <c r="D27" t="str">
        <f t="shared" si="0"/>
        <v>Total Madera</v>
      </c>
      <c r="E27" t="str">
        <f t="shared" si="1"/>
        <v>% Madera</v>
      </c>
      <c r="G27" t="s">
        <v>301</v>
      </c>
      <c r="H27" t="s">
        <v>302</v>
      </c>
    </row>
    <row r="28" spans="1:8" ht="35.25" customHeight="1" x14ac:dyDescent="0.3">
      <c r="A28" s="48" t="s">
        <v>89</v>
      </c>
      <c r="B28" t="s">
        <v>290</v>
      </c>
      <c r="C28" t="s">
        <v>13</v>
      </c>
      <c r="D28" t="str">
        <f t="shared" si="0"/>
        <v>Total Plásticos (excepto SUP*)</v>
      </c>
      <c r="E28" t="str">
        <f t="shared" si="1"/>
        <v>% Plásticos (excepto SUP*)</v>
      </c>
      <c r="G28" t="s">
        <v>303</v>
      </c>
      <c r="H28" t="s">
        <v>304</v>
      </c>
    </row>
    <row r="29" spans="1:8" ht="35.25" customHeight="1" x14ac:dyDescent="0.3">
      <c r="A29" s="66" t="s">
        <v>39</v>
      </c>
      <c r="B29" t="s">
        <v>290</v>
      </c>
      <c r="C29" t="s">
        <v>13</v>
      </c>
      <c r="D29" t="str">
        <f t="shared" si="0"/>
        <v>Total Biorresiduos</v>
      </c>
      <c r="E29" t="str">
        <f t="shared" si="1"/>
        <v>% Biorresiduos</v>
      </c>
      <c r="G29" t="s">
        <v>305</v>
      </c>
      <c r="H29" t="s">
        <v>306</v>
      </c>
    </row>
    <row r="30" spans="1:8" ht="35.25" customHeight="1" x14ac:dyDescent="0.3">
      <c r="A30" s="65" t="s">
        <v>84</v>
      </c>
      <c r="B30" t="s">
        <v>290</v>
      </c>
      <c r="C30" t="s">
        <v>13</v>
      </c>
      <c r="D30" t="str">
        <f t="shared" si="0"/>
        <v>Total ACEITE</v>
      </c>
      <c r="E30" t="str">
        <f t="shared" si="1"/>
        <v>% ACEITE</v>
      </c>
      <c r="G30" t="s">
        <v>307</v>
      </c>
      <c r="H30" t="s">
        <v>308</v>
      </c>
    </row>
    <row r="31" spans="1:8" ht="35.25" customHeight="1" x14ac:dyDescent="0.3">
      <c r="A31" s="70" t="s">
        <v>91</v>
      </c>
      <c r="B31" t="s">
        <v>290</v>
      </c>
      <c r="C31" t="s">
        <v>13</v>
      </c>
      <c r="D31" t="str">
        <f t="shared" si="0"/>
        <v>Total RAEE [iv]</v>
      </c>
      <c r="E31" t="str">
        <f t="shared" si="1"/>
        <v>% RAEE [iv]</v>
      </c>
      <c r="G31" t="s">
        <v>309</v>
      </c>
      <c r="H31" t="s">
        <v>310</v>
      </c>
    </row>
    <row r="32" spans="1:8" ht="35.25" customHeight="1" x14ac:dyDescent="0.3">
      <c r="A32" s="74" t="s">
        <v>73</v>
      </c>
      <c r="B32" t="s">
        <v>290</v>
      </c>
      <c r="C32" t="s">
        <v>13</v>
      </c>
      <c r="D32" t="str">
        <f t="shared" si="0"/>
        <v>Total Baterias</v>
      </c>
      <c r="E32" t="str">
        <f t="shared" si="1"/>
        <v>% Baterias</v>
      </c>
      <c r="G32" t="s">
        <v>311</v>
      </c>
      <c r="H32" t="s">
        <v>312</v>
      </c>
    </row>
    <row r="33" spans="1:8" ht="35.25" customHeight="1" x14ac:dyDescent="0.3">
      <c r="A33" s="84" t="s">
        <v>74</v>
      </c>
      <c r="B33" t="s">
        <v>290</v>
      </c>
      <c r="C33" t="s">
        <v>13</v>
      </c>
      <c r="D33" t="str">
        <f t="shared" si="0"/>
        <v>Total Textiles</v>
      </c>
      <c r="E33" t="str">
        <f t="shared" si="1"/>
        <v>% Textiles</v>
      </c>
      <c r="G33" t="s">
        <v>313</v>
      </c>
      <c r="H33" t="s">
        <v>314</v>
      </c>
    </row>
    <row r="34" spans="1:8" ht="35.25" customHeight="1" x14ac:dyDescent="0.3">
      <c r="A34" s="75" t="s">
        <v>75</v>
      </c>
      <c r="B34" t="s">
        <v>290</v>
      </c>
      <c r="C34" t="s">
        <v>13</v>
      </c>
      <c r="D34" t="str">
        <f t="shared" si="0"/>
        <v>Total Textiles sanitarios</v>
      </c>
      <c r="E34" t="str">
        <f t="shared" si="1"/>
        <v>% Textiles sanitarios</v>
      </c>
      <c r="G34" t="s">
        <v>315</v>
      </c>
      <c r="H34" t="s">
        <v>316</v>
      </c>
    </row>
    <row r="35" spans="1:8" ht="35.25" customHeight="1" x14ac:dyDescent="0.3">
      <c r="A35" s="79" t="s">
        <v>76</v>
      </c>
      <c r="B35" t="s">
        <v>290</v>
      </c>
      <c r="C35" t="s">
        <v>13</v>
      </c>
      <c r="D35" t="str">
        <f t="shared" si="0"/>
        <v>Total Tierras y RCDs</v>
      </c>
      <c r="E35" t="str">
        <f t="shared" si="1"/>
        <v>% Tierras y RCDs</v>
      </c>
      <c r="G35" t="s">
        <v>317</v>
      </c>
      <c r="H35" t="s">
        <v>318</v>
      </c>
    </row>
    <row r="36" spans="1:8" ht="35.25" customHeight="1" x14ac:dyDescent="0.3">
      <c r="A36" s="79" t="s">
        <v>41</v>
      </c>
      <c r="B36" t="s">
        <v>290</v>
      </c>
      <c r="C36" t="s">
        <v>13</v>
      </c>
      <c r="D36" t="str">
        <f t="shared" si="0"/>
        <v>Total Otros</v>
      </c>
      <c r="E36" t="str">
        <f t="shared" si="1"/>
        <v>% Otros</v>
      </c>
      <c r="G36" t="s">
        <v>319</v>
      </c>
      <c r="H36" t="s">
        <v>320</v>
      </c>
    </row>
    <row r="69" spans="1:1" ht="35.25" customHeight="1" x14ac:dyDescent="0.3">
      <c r="A69" s="79" t="s">
        <v>41</v>
      </c>
    </row>
    <row r="70" spans="1:1" ht="35.25" customHeight="1" x14ac:dyDescent="0.3">
      <c r="A70" s="79" t="s">
        <v>41</v>
      </c>
    </row>
    <row r="71" spans="1:1" ht="35.25" customHeight="1" x14ac:dyDescent="0.3">
      <c r="A71" s="79" t="s">
        <v>41</v>
      </c>
    </row>
    <row r="72" spans="1:1" ht="35.25" customHeight="1" x14ac:dyDescent="0.3">
      <c r="A72" s="79" t="s">
        <v>41</v>
      </c>
    </row>
    <row r="73" spans="1:1" ht="35.25" customHeight="1" x14ac:dyDescent="0.3">
      <c r="A73" s="79" t="s">
        <v>41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opLeftCell="A33" zoomScale="70" zoomScaleNormal="70" workbookViewId="0">
      <selection activeCell="I16" sqref="I16"/>
    </sheetView>
  </sheetViews>
  <sheetFormatPr baseColWidth="10" defaultColWidth="105" defaultRowHeight="14.4" x14ac:dyDescent="0.3"/>
  <cols>
    <col min="1" max="1" width="41" customWidth="1"/>
    <col min="2" max="2" width="98.6640625" customWidth="1"/>
    <col min="3" max="3" width="38.5546875" customWidth="1"/>
    <col min="4" max="4" width="16.6640625" customWidth="1"/>
    <col min="5" max="5" width="21.6640625" customWidth="1"/>
    <col min="6" max="6" width="20" customWidth="1"/>
    <col min="7" max="7" width="24.109375" customWidth="1"/>
    <col min="8" max="8" width="23.5546875" customWidth="1"/>
  </cols>
  <sheetData>
    <row r="1" spans="1:8" s="95" customFormat="1" ht="92.25" customHeight="1" x14ac:dyDescent="0.3">
      <c r="A1" s="93" t="s">
        <v>86</v>
      </c>
      <c r="B1" s="93" t="s">
        <v>87</v>
      </c>
      <c r="C1" s="93" t="s">
        <v>88</v>
      </c>
      <c r="D1" s="93" t="s">
        <v>103</v>
      </c>
      <c r="E1" s="94" t="s">
        <v>106</v>
      </c>
      <c r="F1" s="93" t="s">
        <v>108</v>
      </c>
      <c r="G1" s="93" t="s">
        <v>112</v>
      </c>
      <c r="H1" s="93" t="s">
        <v>107</v>
      </c>
    </row>
    <row r="2" spans="1:8" x14ac:dyDescent="0.3">
      <c r="A2" s="41" t="s">
        <v>14</v>
      </c>
      <c r="B2" s="41"/>
      <c r="C2" s="46" t="s">
        <v>15</v>
      </c>
      <c r="D2" s="89" t="s">
        <v>104</v>
      </c>
      <c r="E2" s="90" t="s">
        <v>104</v>
      </c>
      <c r="F2" s="90" t="s">
        <v>104</v>
      </c>
      <c r="G2" s="90" t="s">
        <v>104</v>
      </c>
      <c r="H2" s="90" t="s">
        <v>104</v>
      </c>
    </row>
    <row r="3" spans="1:8" x14ac:dyDescent="0.3">
      <c r="A3" s="41" t="s">
        <v>14</v>
      </c>
      <c r="B3" s="41"/>
      <c r="C3" s="46" t="s">
        <v>16</v>
      </c>
      <c r="D3" s="89" t="s">
        <v>104</v>
      </c>
      <c r="E3" s="90" t="s">
        <v>104</v>
      </c>
      <c r="F3" s="90" t="s">
        <v>104</v>
      </c>
      <c r="G3" s="90" t="s">
        <v>104</v>
      </c>
      <c r="H3" s="90" t="s">
        <v>104</v>
      </c>
    </row>
    <row r="4" spans="1:8" x14ac:dyDescent="0.3">
      <c r="A4" s="41" t="s">
        <v>14</v>
      </c>
      <c r="B4" s="41"/>
      <c r="C4" s="46" t="s">
        <v>17</v>
      </c>
      <c r="D4" s="89" t="s">
        <v>104</v>
      </c>
      <c r="E4" s="90" t="s">
        <v>104</v>
      </c>
      <c r="F4" s="90" t="s">
        <v>104</v>
      </c>
      <c r="G4" s="90" t="s">
        <v>104</v>
      </c>
      <c r="H4" s="90" t="s">
        <v>104</v>
      </c>
    </row>
    <row r="5" spans="1:8" x14ac:dyDescent="0.3">
      <c r="A5" s="48" t="s">
        <v>18</v>
      </c>
      <c r="B5" s="48"/>
      <c r="C5" s="49" t="s">
        <v>19</v>
      </c>
      <c r="D5" s="89" t="s">
        <v>104</v>
      </c>
      <c r="E5" s="88" t="s">
        <v>105</v>
      </c>
      <c r="F5" s="90" t="s">
        <v>104</v>
      </c>
      <c r="G5" s="88" t="s">
        <v>105</v>
      </c>
      <c r="H5" s="90" t="s">
        <v>104</v>
      </c>
    </row>
    <row r="6" spans="1:8" x14ac:dyDescent="0.3">
      <c r="A6" s="44" t="s">
        <v>51</v>
      </c>
      <c r="B6" s="44"/>
      <c r="C6" s="51" t="s">
        <v>19</v>
      </c>
      <c r="D6" s="89" t="s">
        <v>104</v>
      </c>
      <c r="E6" s="91" t="s">
        <v>104</v>
      </c>
      <c r="F6" s="90" t="s">
        <v>104</v>
      </c>
      <c r="G6" s="90" t="s">
        <v>104</v>
      </c>
      <c r="H6" s="90" t="s">
        <v>104</v>
      </c>
    </row>
    <row r="7" spans="1:8" x14ac:dyDescent="0.3">
      <c r="A7" s="44" t="s">
        <v>51</v>
      </c>
      <c r="B7" s="44"/>
      <c r="C7" s="51" t="s">
        <v>20</v>
      </c>
      <c r="D7" s="89" t="s">
        <v>104</v>
      </c>
      <c r="E7" s="91" t="s">
        <v>104</v>
      </c>
      <c r="F7" s="90" t="s">
        <v>104</v>
      </c>
      <c r="G7" s="90" t="s">
        <v>104</v>
      </c>
      <c r="H7" s="90" t="s">
        <v>104</v>
      </c>
    </row>
    <row r="8" spans="1:8" x14ac:dyDescent="0.3">
      <c r="A8" s="42" t="s">
        <v>21</v>
      </c>
      <c r="B8" s="42" t="s">
        <v>22</v>
      </c>
      <c r="C8" s="55" t="s">
        <v>19</v>
      </c>
      <c r="D8" s="89" t="s">
        <v>104</v>
      </c>
      <c r="E8" s="88" t="s">
        <v>105</v>
      </c>
      <c r="F8" s="90" t="s">
        <v>104</v>
      </c>
      <c r="G8" s="88" t="s">
        <v>105</v>
      </c>
      <c r="H8" s="90" t="s">
        <v>104</v>
      </c>
    </row>
    <row r="9" spans="1:8" x14ac:dyDescent="0.3">
      <c r="A9" s="42" t="s">
        <v>21</v>
      </c>
      <c r="B9" s="42" t="s">
        <v>22</v>
      </c>
      <c r="C9" s="55" t="s">
        <v>20</v>
      </c>
      <c r="D9" s="89" t="s">
        <v>104</v>
      </c>
      <c r="E9" s="91" t="s">
        <v>104</v>
      </c>
      <c r="F9" s="92" t="s">
        <v>105</v>
      </c>
      <c r="G9" s="88" t="s">
        <v>105</v>
      </c>
      <c r="H9" s="90" t="s">
        <v>104</v>
      </c>
    </row>
    <row r="10" spans="1:8" x14ac:dyDescent="0.3">
      <c r="A10" s="42" t="s">
        <v>23</v>
      </c>
      <c r="B10" s="42" t="s">
        <v>24</v>
      </c>
      <c r="C10" s="55" t="s">
        <v>19</v>
      </c>
      <c r="D10" s="89" t="s">
        <v>104</v>
      </c>
      <c r="E10" s="88" t="s">
        <v>105</v>
      </c>
      <c r="F10" s="90" t="s">
        <v>104</v>
      </c>
      <c r="G10" s="88" t="s">
        <v>105</v>
      </c>
      <c r="H10" s="90" t="s">
        <v>104</v>
      </c>
    </row>
    <row r="11" spans="1:8" x14ac:dyDescent="0.3">
      <c r="A11" s="42" t="s">
        <v>23</v>
      </c>
      <c r="B11" s="42" t="s">
        <v>24</v>
      </c>
      <c r="C11" s="55" t="s">
        <v>20</v>
      </c>
      <c r="D11" s="89" t="s">
        <v>104</v>
      </c>
      <c r="E11" s="91" t="s">
        <v>104</v>
      </c>
      <c r="F11" s="92" t="s">
        <v>105</v>
      </c>
      <c r="G11" s="88" t="s">
        <v>105</v>
      </c>
      <c r="H11" s="90" t="s">
        <v>104</v>
      </c>
    </row>
    <row r="12" spans="1:8" x14ac:dyDescent="0.3">
      <c r="A12" s="57" t="s">
        <v>25</v>
      </c>
      <c r="B12" s="57"/>
      <c r="C12" s="58" t="s">
        <v>19</v>
      </c>
      <c r="D12" s="89" t="s">
        <v>104</v>
      </c>
      <c r="E12" s="88" t="s">
        <v>105</v>
      </c>
      <c r="F12" s="90" t="s">
        <v>104</v>
      </c>
      <c r="G12" s="88" t="s">
        <v>105</v>
      </c>
      <c r="H12" s="90" t="s">
        <v>104</v>
      </c>
    </row>
    <row r="13" spans="1:8" x14ac:dyDescent="0.3">
      <c r="A13" s="57" t="s">
        <v>25</v>
      </c>
      <c r="B13" s="57"/>
      <c r="C13" s="58" t="s">
        <v>20</v>
      </c>
      <c r="D13" s="89" t="s">
        <v>104</v>
      </c>
      <c r="E13" s="91" t="s">
        <v>104</v>
      </c>
      <c r="F13" s="92" t="s">
        <v>105</v>
      </c>
      <c r="G13" s="88" t="s">
        <v>105</v>
      </c>
      <c r="H13" s="90" t="s">
        <v>104</v>
      </c>
    </row>
    <row r="14" spans="1:8" x14ac:dyDescent="0.3">
      <c r="A14" s="48" t="s">
        <v>89</v>
      </c>
      <c r="B14" s="49" t="s">
        <v>27</v>
      </c>
      <c r="C14" s="49" t="s">
        <v>19</v>
      </c>
      <c r="D14" s="89" t="s">
        <v>104</v>
      </c>
      <c r="E14" s="88" t="s">
        <v>105</v>
      </c>
      <c r="F14" s="90" t="s">
        <v>104</v>
      </c>
      <c r="G14" s="88" t="s">
        <v>105</v>
      </c>
      <c r="H14" s="90" t="s">
        <v>104</v>
      </c>
    </row>
    <row r="15" spans="1:8" x14ac:dyDescent="0.3">
      <c r="A15" s="48" t="s">
        <v>89</v>
      </c>
      <c r="B15" s="49" t="s">
        <v>27</v>
      </c>
      <c r="C15" s="49" t="s">
        <v>20</v>
      </c>
      <c r="D15" s="89" t="s">
        <v>104</v>
      </c>
      <c r="E15" s="91" t="s">
        <v>104</v>
      </c>
      <c r="F15" s="92" t="s">
        <v>105</v>
      </c>
      <c r="G15" s="88" t="s">
        <v>105</v>
      </c>
      <c r="H15" s="90" t="s">
        <v>104</v>
      </c>
    </row>
    <row r="16" spans="1:8" x14ac:dyDescent="0.3">
      <c r="A16" s="48" t="s">
        <v>89</v>
      </c>
      <c r="B16" s="49" t="s">
        <v>59</v>
      </c>
      <c r="C16" s="49" t="s">
        <v>19</v>
      </c>
      <c r="D16" s="89" t="s">
        <v>104</v>
      </c>
      <c r="E16" s="88" t="s">
        <v>105</v>
      </c>
      <c r="F16" s="90" t="s">
        <v>104</v>
      </c>
      <c r="G16" s="88" t="s">
        <v>105</v>
      </c>
      <c r="H16" s="90" t="s">
        <v>104</v>
      </c>
    </row>
    <row r="17" spans="1:8" x14ac:dyDescent="0.3">
      <c r="A17" s="48" t="s">
        <v>89</v>
      </c>
      <c r="B17" s="49" t="s">
        <v>59</v>
      </c>
      <c r="C17" s="49" t="s">
        <v>20</v>
      </c>
      <c r="D17" s="89" t="s">
        <v>104</v>
      </c>
      <c r="E17" s="91" t="s">
        <v>104</v>
      </c>
      <c r="F17" s="92" t="s">
        <v>105</v>
      </c>
      <c r="G17" s="88" t="s">
        <v>105</v>
      </c>
      <c r="H17" s="90" t="s">
        <v>104</v>
      </c>
    </row>
    <row r="18" spans="1:8" x14ac:dyDescent="0.3">
      <c r="A18" s="48" t="s">
        <v>89</v>
      </c>
      <c r="B18" s="49" t="s">
        <v>60</v>
      </c>
      <c r="C18" s="49" t="s">
        <v>19</v>
      </c>
      <c r="D18" s="89" t="s">
        <v>104</v>
      </c>
      <c r="E18" s="88" t="s">
        <v>105</v>
      </c>
      <c r="F18" s="90" t="s">
        <v>104</v>
      </c>
      <c r="G18" s="88" t="s">
        <v>105</v>
      </c>
      <c r="H18" s="90" t="s">
        <v>104</v>
      </c>
    </row>
    <row r="19" spans="1:8" x14ac:dyDescent="0.3">
      <c r="A19" s="48" t="s">
        <v>89</v>
      </c>
      <c r="B19" s="49" t="s">
        <v>60</v>
      </c>
      <c r="C19" s="49" t="s">
        <v>20</v>
      </c>
      <c r="D19" s="89" t="s">
        <v>104</v>
      </c>
      <c r="E19" s="91" t="s">
        <v>104</v>
      </c>
      <c r="F19" s="92" t="s">
        <v>105</v>
      </c>
      <c r="G19" s="88" t="s">
        <v>105</v>
      </c>
      <c r="H19" s="90" t="s">
        <v>104</v>
      </c>
    </row>
    <row r="20" spans="1:8" x14ac:dyDescent="0.3">
      <c r="A20" s="48" t="s">
        <v>89</v>
      </c>
      <c r="B20" s="49" t="s">
        <v>29</v>
      </c>
      <c r="C20" s="49" t="s">
        <v>19</v>
      </c>
      <c r="D20" s="89" t="s">
        <v>104</v>
      </c>
      <c r="E20" s="88" t="s">
        <v>105</v>
      </c>
      <c r="F20" s="90" t="s">
        <v>104</v>
      </c>
      <c r="G20" s="88" t="s">
        <v>105</v>
      </c>
      <c r="H20" s="90" t="s">
        <v>104</v>
      </c>
    </row>
    <row r="21" spans="1:8" x14ac:dyDescent="0.3">
      <c r="A21" s="48" t="s">
        <v>89</v>
      </c>
      <c r="B21" s="49" t="s">
        <v>29</v>
      </c>
      <c r="C21" s="49" t="s">
        <v>20</v>
      </c>
      <c r="D21" s="89" t="s">
        <v>104</v>
      </c>
      <c r="E21" s="91" t="s">
        <v>104</v>
      </c>
      <c r="F21" s="92" t="s">
        <v>105</v>
      </c>
      <c r="G21" s="88" t="s">
        <v>105</v>
      </c>
      <c r="H21" s="90" t="s">
        <v>104</v>
      </c>
    </row>
    <row r="22" spans="1:8" x14ac:dyDescent="0.3">
      <c r="A22" s="48" t="s">
        <v>89</v>
      </c>
      <c r="B22" s="49" t="s">
        <v>30</v>
      </c>
      <c r="C22" s="49" t="s">
        <v>19</v>
      </c>
      <c r="D22" s="89" t="s">
        <v>104</v>
      </c>
      <c r="E22" s="88" t="s">
        <v>105</v>
      </c>
      <c r="F22" s="90" t="s">
        <v>104</v>
      </c>
      <c r="G22" s="88" t="s">
        <v>105</v>
      </c>
      <c r="H22" s="90" t="s">
        <v>104</v>
      </c>
    </row>
    <row r="23" spans="1:8" x14ac:dyDescent="0.3">
      <c r="A23" s="48" t="s">
        <v>89</v>
      </c>
      <c r="B23" s="49" t="s">
        <v>30</v>
      </c>
      <c r="C23" s="49" t="s">
        <v>20</v>
      </c>
      <c r="D23" s="89" t="s">
        <v>104</v>
      </c>
      <c r="E23" s="91" t="s">
        <v>104</v>
      </c>
      <c r="F23" s="92" t="s">
        <v>105</v>
      </c>
      <c r="G23" s="88" t="s">
        <v>105</v>
      </c>
      <c r="H23" s="90" t="s">
        <v>104</v>
      </c>
    </row>
    <row r="24" spans="1:8" x14ac:dyDescent="0.3">
      <c r="A24" s="48" t="s">
        <v>89</v>
      </c>
      <c r="B24" s="49" t="s">
        <v>31</v>
      </c>
      <c r="C24" s="49" t="s">
        <v>19</v>
      </c>
      <c r="D24" s="89" t="s">
        <v>104</v>
      </c>
      <c r="E24" s="88" t="s">
        <v>105</v>
      </c>
      <c r="F24" s="90" t="s">
        <v>104</v>
      </c>
      <c r="G24" s="88" t="s">
        <v>105</v>
      </c>
      <c r="H24" s="90" t="s">
        <v>104</v>
      </c>
    </row>
    <row r="25" spans="1:8" x14ac:dyDescent="0.3">
      <c r="A25" s="48" t="s">
        <v>89</v>
      </c>
      <c r="B25" s="49" t="s">
        <v>31</v>
      </c>
      <c r="C25" s="49" t="s">
        <v>20</v>
      </c>
      <c r="D25" s="89" t="s">
        <v>104</v>
      </c>
      <c r="E25" s="91" t="s">
        <v>104</v>
      </c>
      <c r="F25" s="92" t="s">
        <v>105</v>
      </c>
      <c r="G25" s="88" t="s">
        <v>105</v>
      </c>
      <c r="H25" s="90" t="s">
        <v>104</v>
      </c>
    </row>
    <row r="26" spans="1:8" x14ac:dyDescent="0.3">
      <c r="A26" s="48" t="s">
        <v>89</v>
      </c>
      <c r="B26" s="49" t="s">
        <v>32</v>
      </c>
      <c r="C26" s="49" t="s">
        <v>19</v>
      </c>
      <c r="D26" s="89" t="s">
        <v>104</v>
      </c>
      <c r="E26" s="88" t="s">
        <v>105</v>
      </c>
      <c r="F26" s="90" t="s">
        <v>104</v>
      </c>
      <c r="G26" s="88" t="s">
        <v>105</v>
      </c>
      <c r="H26" s="90" t="s">
        <v>104</v>
      </c>
    </row>
    <row r="27" spans="1:8" x14ac:dyDescent="0.3">
      <c r="A27" s="48" t="s">
        <v>89</v>
      </c>
      <c r="B27" s="49" t="s">
        <v>32</v>
      </c>
      <c r="C27" s="49" t="s">
        <v>20</v>
      </c>
      <c r="D27" s="89" t="s">
        <v>104</v>
      </c>
      <c r="E27" s="91" t="s">
        <v>104</v>
      </c>
      <c r="F27" s="92" t="s">
        <v>105</v>
      </c>
      <c r="G27" s="88" t="s">
        <v>105</v>
      </c>
      <c r="H27" s="90" t="s">
        <v>104</v>
      </c>
    </row>
    <row r="28" spans="1:8" x14ac:dyDescent="0.3">
      <c r="A28" s="48" t="s">
        <v>89</v>
      </c>
      <c r="B28" s="49" t="s">
        <v>33</v>
      </c>
      <c r="C28" s="49" t="s">
        <v>19</v>
      </c>
      <c r="D28" s="89" t="s">
        <v>104</v>
      </c>
      <c r="E28" s="88" t="s">
        <v>105</v>
      </c>
      <c r="F28" s="90" t="s">
        <v>104</v>
      </c>
      <c r="G28" s="88" t="s">
        <v>105</v>
      </c>
      <c r="H28" s="90" t="s">
        <v>104</v>
      </c>
    </row>
    <row r="29" spans="1:8" x14ac:dyDescent="0.3">
      <c r="A29" s="48" t="s">
        <v>89</v>
      </c>
      <c r="B29" s="49" t="s">
        <v>33</v>
      </c>
      <c r="C29" s="49" t="s">
        <v>20</v>
      </c>
      <c r="D29" s="89" t="s">
        <v>104</v>
      </c>
      <c r="E29" s="91" t="s">
        <v>104</v>
      </c>
      <c r="F29" s="92" t="s">
        <v>105</v>
      </c>
      <c r="G29" s="88" t="s">
        <v>105</v>
      </c>
      <c r="H29" s="90" t="s">
        <v>104</v>
      </c>
    </row>
    <row r="30" spans="1:8" x14ac:dyDescent="0.3">
      <c r="A30" s="48" t="s">
        <v>34</v>
      </c>
      <c r="B30" s="61" t="s">
        <v>35</v>
      </c>
      <c r="C30" s="61"/>
      <c r="D30" s="89" t="s">
        <v>104</v>
      </c>
      <c r="E30" s="88" t="s">
        <v>105</v>
      </c>
      <c r="F30" s="90" t="s">
        <v>104</v>
      </c>
      <c r="G30" s="88" t="s">
        <v>105</v>
      </c>
      <c r="H30" s="90" t="s">
        <v>104</v>
      </c>
    </row>
    <row r="31" spans="1:8" x14ac:dyDescent="0.3">
      <c r="A31" s="48" t="s">
        <v>34</v>
      </c>
      <c r="B31" s="49" t="s">
        <v>36</v>
      </c>
      <c r="C31" s="49"/>
      <c r="D31" s="89" t="s">
        <v>104</v>
      </c>
      <c r="E31" s="91" t="s">
        <v>104</v>
      </c>
      <c r="F31" s="92" t="s">
        <v>105</v>
      </c>
      <c r="G31" s="90" t="s">
        <v>104</v>
      </c>
      <c r="H31" s="92" t="s">
        <v>105</v>
      </c>
    </row>
    <row r="32" spans="1:8" x14ac:dyDescent="0.3">
      <c r="A32" s="48" t="s">
        <v>34</v>
      </c>
      <c r="B32" s="62" t="s">
        <v>37</v>
      </c>
      <c r="C32" s="62"/>
      <c r="D32" s="89" t="s">
        <v>104</v>
      </c>
      <c r="E32" s="88" t="s">
        <v>105</v>
      </c>
      <c r="F32" s="90" t="s">
        <v>104</v>
      </c>
      <c r="G32" s="88" t="s">
        <v>105</v>
      </c>
      <c r="H32" s="90" t="s">
        <v>104</v>
      </c>
    </row>
    <row r="33" spans="1:8" x14ac:dyDescent="0.3">
      <c r="A33" s="48" t="s">
        <v>34</v>
      </c>
      <c r="B33" s="63" t="s">
        <v>38</v>
      </c>
      <c r="C33" s="63"/>
      <c r="D33" s="89" t="s">
        <v>104</v>
      </c>
      <c r="E33" s="88" t="s">
        <v>105</v>
      </c>
      <c r="F33" s="90" t="s">
        <v>104</v>
      </c>
      <c r="G33" s="88" t="s">
        <v>105</v>
      </c>
      <c r="H33" s="90" t="s">
        <v>104</v>
      </c>
    </row>
    <row r="34" spans="1:8" x14ac:dyDescent="0.3">
      <c r="A34" s="48" t="s">
        <v>34</v>
      </c>
      <c r="B34" s="63" t="s">
        <v>41</v>
      </c>
      <c r="C34" s="63"/>
      <c r="D34" s="89" t="s">
        <v>104</v>
      </c>
      <c r="E34" s="88" t="s">
        <v>105</v>
      </c>
      <c r="F34" s="90" t="s">
        <v>104</v>
      </c>
      <c r="G34" s="88" t="s">
        <v>105</v>
      </c>
      <c r="H34" s="90" t="s">
        <v>104</v>
      </c>
    </row>
    <row r="35" spans="1:8" x14ac:dyDescent="0.3">
      <c r="A35" s="66" t="s">
        <v>39</v>
      </c>
      <c r="B35" s="67" t="s">
        <v>66</v>
      </c>
      <c r="C35" s="67"/>
      <c r="D35" s="67" t="s">
        <v>105</v>
      </c>
      <c r="E35" s="90" t="s">
        <v>104</v>
      </c>
      <c r="F35" s="90" t="s">
        <v>104</v>
      </c>
      <c r="G35" s="90" t="s">
        <v>104</v>
      </c>
      <c r="H35" s="90" t="s">
        <v>104</v>
      </c>
    </row>
    <row r="36" spans="1:8" x14ac:dyDescent="0.3">
      <c r="A36" s="66" t="s">
        <v>39</v>
      </c>
      <c r="B36" s="67" t="s">
        <v>67</v>
      </c>
      <c r="C36" s="67"/>
      <c r="D36" s="67" t="s">
        <v>105</v>
      </c>
      <c r="E36" s="90" t="s">
        <v>104</v>
      </c>
      <c r="F36" s="90" t="s">
        <v>104</v>
      </c>
      <c r="G36" s="90" t="s">
        <v>104</v>
      </c>
      <c r="H36" s="90" t="s">
        <v>104</v>
      </c>
    </row>
    <row r="37" spans="1:8" x14ac:dyDescent="0.3">
      <c r="A37" s="66" t="s">
        <v>39</v>
      </c>
      <c r="B37" s="67" t="s">
        <v>68</v>
      </c>
      <c r="C37" s="67"/>
      <c r="D37" s="67" t="s">
        <v>105</v>
      </c>
      <c r="E37" s="90" t="s">
        <v>104</v>
      </c>
      <c r="F37" s="90" t="s">
        <v>104</v>
      </c>
      <c r="G37" s="90" t="s">
        <v>104</v>
      </c>
      <c r="H37" s="90" t="s">
        <v>104</v>
      </c>
    </row>
    <row r="38" spans="1:8" x14ac:dyDescent="0.3">
      <c r="A38" s="66" t="s">
        <v>39</v>
      </c>
      <c r="B38" s="67" t="s">
        <v>81</v>
      </c>
      <c r="C38" s="67"/>
      <c r="D38" s="67" t="s">
        <v>105</v>
      </c>
      <c r="E38" s="90" t="s">
        <v>104</v>
      </c>
      <c r="F38" s="90" t="s">
        <v>104</v>
      </c>
      <c r="G38" s="90" t="s">
        <v>104</v>
      </c>
      <c r="H38" s="90" t="s">
        <v>104</v>
      </c>
    </row>
    <row r="39" spans="1:8" ht="27.6" x14ac:dyDescent="0.3">
      <c r="A39" s="66" t="s">
        <v>39</v>
      </c>
      <c r="B39" s="67" t="s">
        <v>69</v>
      </c>
      <c r="C39" s="67"/>
      <c r="D39" s="67" t="s">
        <v>105</v>
      </c>
      <c r="E39" s="90" t="s">
        <v>104</v>
      </c>
      <c r="F39" s="90" t="s">
        <v>104</v>
      </c>
      <c r="G39" s="90" t="s">
        <v>104</v>
      </c>
      <c r="H39" s="90" t="s">
        <v>104</v>
      </c>
    </row>
    <row r="40" spans="1:8" x14ac:dyDescent="0.3">
      <c r="A40" s="66" t="s">
        <v>39</v>
      </c>
      <c r="B40" s="67" t="s">
        <v>71</v>
      </c>
      <c r="C40" s="67"/>
      <c r="D40" s="67" t="s">
        <v>105</v>
      </c>
      <c r="E40" s="90" t="s">
        <v>104</v>
      </c>
      <c r="F40" s="90" t="s">
        <v>104</v>
      </c>
      <c r="G40" s="90" t="s">
        <v>104</v>
      </c>
      <c r="H40" s="90" t="s">
        <v>104</v>
      </c>
    </row>
    <row r="41" spans="1:8" x14ac:dyDescent="0.3">
      <c r="A41" s="66" t="s">
        <v>39</v>
      </c>
      <c r="B41" s="67" t="s">
        <v>72</v>
      </c>
      <c r="C41" s="67"/>
      <c r="D41" s="67" t="s">
        <v>105</v>
      </c>
      <c r="E41" s="90" t="s">
        <v>104</v>
      </c>
      <c r="F41" s="90" t="s">
        <v>104</v>
      </c>
      <c r="G41" s="90" t="s">
        <v>104</v>
      </c>
      <c r="H41" s="90" t="s">
        <v>104</v>
      </c>
    </row>
    <row r="42" spans="1:8" x14ac:dyDescent="0.3">
      <c r="A42" s="65" t="s">
        <v>84</v>
      </c>
      <c r="B42" s="64" t="s">
        <v>70</v>
      </c>
      <c r="C42" s="64"/>
      <c r="D42" s="89" t="s">
        <v>104</v>
      </c>
      <c r="E42" s="90" t="s">
        <v>104</v>
      </c>
      <c r="F42" s="90" t="s">
        <v>104</v>
      </c>
      <c r="G42" s="90" t="s">
        <v>104</v>
      </c>
      <c r="H42" s="90" t="s">
        <v>104</v>
      </c>
    </row>
    <row r="43" spans="1:8" x14ac:dyDescent="0.3">
      <c r="A43" s="70" t="s">
        <v>91</v>
      </c>
      <c r="B43" s="71" t="s">
        <v>58</v>
      </c>
      <c r="C43" s="71"/>
      <c r="D43" s="89" t="s">
        <v>104</v>
      </c>
      <c r="E43" s="90" t="s">
        <v>104</v>
      </c>
      <c r="F43" s="90" t="s">
        <v>104</v>
      </c>
      <c r="G43" s="90" t="s">
        <v>104</v>
      </c>
      <c r="H43" s="90" t="s">
        <v>104</v>
      </c>
    </row>
    <row r="44" spans="1:8" x14ac:dyDescent="0.3">
      <c r="A44" s="74" t="s">
        <v>73</v>
      </c>
      <c r="B44" s="71" t="s">
        <v>42</v>
      </c>
      <c r="C44" s="71"/>
      <c r="D44" s="89" t="s">
        <v>104</v>
      </c>
      <c r="E44" s="90" t="s">
        <v>104</v>
      </c>
      <c r="F44" s="90" t="s">
        <v>104</v>
      </c>
      <c r="G44" s="90" t="s">
        <v>104</v>
      </c>
      <c r="H44" s="90" t="s">
        <v>104</v>
      </c>
    </row>
    <row r="45" spans="1:8" x14ac:dyDescent="0.3">
      <c r="A45" s="74" t="s">
        <v>73</v>
      </c>
      <c r="B45" s="71" t="s">
        <v>43</v>
      </c>
      <c r="C45" s="71"/>
      <c r="D45" s="89" t="s">
        <v>104</v>
      </c>
      <c r="E45" s="90" t="s">
        <v>104</v>
      </c>
      <c r="F45" s="90" t="s">
        <v>104</v>
      </c>
      <c r="G45" s="90" t="s">
        <v>104</v>
      </c>
      <c r="H45" s="90" t="s">
        <v>104</v>
      </c>
    </row>
    <row r="46" spans="1:8" x14ac:dyDescent="0.3">
      <c r="A46" s="84" t="s">
        <v>74</v>
      </c>
      <c r="B46" s="85" t="s">
        <v>44</v>
      </c>
      <c r="C46" s="85"/>
      <c r="D46" s="89" t="s">
        <v>104</v>
      </c>
      <c r="E46" s="90" t="s">
        <v>104</v>
      </c>
      <c r="F46" s="90" t="s">
        <v>104</v>
      </c>
      <c r="G46" s="90" t="s">
        <v>104</v>
      </c>
      <c r="H46" s="90" t="s">
        <v>104</v>
      </c>
    </row>
    <row r="47" spans="1:8" x14ac:dyDescent="0.3">
      <c r="A47" s="75" t="s">
        <v>75</v>
      </c>
      <c r="B47" s="76" t="s">
        <v>45</v>
      </c>
      <c r="C47" s="76"/>
      <c r="D47" s="89" t="s">
        <v>104</v>
      </c>
      <c r="E47" s="90" t="s">
        <v>104</v>
      </c>
      <c r="F47" s="92" t="s">
        <v>105</v>
      </c>
      <c r="G47" s="90" t="s">
        <v>104</v>
      </c>
      <c r="H47" s="92" t="s">
        <v>105</v>
      </c>
    </row>
    <row r="48" spans="1:8" x14ac:dyDescent="0.3">
      <c r="A48" s="79" t="s">
        <v>76</v>
      </c>
      <c r="B48" s="80" t="s">
        <v>48</v>
      </c>
      <c r="C48" s="80"/>
      <c r="D48" s="89" t="s">
        <v>104</v>
      </c>
      <c r="E48" s="90" t="s">
        <v>104</v>
      </c>
      <c r="F48" s="90" t="s">
        <v>104</v>
      </c>
      <c r="G48" s="90" t="s">
        <v>104</v>
      </c>
      <c r="H48" s="90" t="s">
        <v>104</v>
      </c>
    </row>
    <row r="49" spans="1:8" x14ac:dyDescent="0.3">
      <c r="A49" s="79" t="s">
        <v>76</v>
      </c>
      <c r="B49" s="80" t="s">
        <v>77</v>
      </c>
      <c r="C49" s="80"/>
      <c r="D49" s="89" t="s">
        <v>104</v>
      </c>
      <c r="E49" s="90" t="s">
        <v>104</v>
      </c>
      <c r="F49" s="90" t="s">
        <v>104</v>
      </c>
      <c r="G49" s="90" t="s">
        <v>104</v>
      </c>
      <c r="H49" s="90" t="s">
        <v>104</v>
      </c>
    </row>
    <row r="50" spans="1:8" x14ac:dyDescent="0.3">
      <c r="A50" s="79" t="s">
        <v>41</v>
      </c>
      <c r="B50" s="83" t="s">
        <v>78</v>
      </c>
      <c r="C50" s="83"/>
      <c r="D50" s="89" t="s">
        <v>104</v>
      </c>
      <c r="E50" s="90" t="s">
        <v>104</v>
      </c>
      <c r="F50" s="92" t="s">
        <v>105</v>
      </c>
      <c r="G50" s="90" t="s">
        <v>104</v>
      </c>
      <c r="H50" s="92" t="s">
        <v>105</v>
      </c>
    </row>
    <row r="51" spans="1:8" x14ac:dyDescent="0.3">
      <c r="A51" s="79" t="s">
        <v>41</v>
      </c>
      <c r="B51" s="83" t="s">
        <v>79</v>
      </c>
      <c r="C51" s="83"/>
      <c r="D51" s="89" t="s">
        <v>104</v>
      </c>
      <c r="E51" s="90" t="s">
        <v>104</v>
      </c>
      <c r="F51" s="92" t="s">
        <v>105</v>
      </c>
      <c r="G51" s="90" t="s">
        <v>104</v>
      </c>
      <c r="H51" s="92" t="s">
        <v>105</v>
      </c>
    </row>
    <row r="52" spans="1:8" x14ac:dyDescent="0.3">
      <c r="A52" s="79" t="s">
        <v>41</v>
      </c>
      <c r="B52" s="83" t="s">
        <v>46</v>
      </c>
      <c r="C52" s="83"/>
      <c r="D52" s="89" t="s">
        <v>104</v>
      </c>
      <c r="E52" s="90" t="s">
        <v>104</v>
      </c>
      <c r="F52" s="92" t="s">
        <v>105</v>
      </c>
      <c r="G52" s="90" t="s">
        <v>104</v>
      </c>
      <c r="H52" s="92" t="s">
        <v>105</v>
      </c>
    </row>
    <row r="53" spans="1:8" x14ac:dyDescent="0.3">
      <c r="A53" s="79" t="s">
        <v>41</v>
      </c>
      <c r="B53" s="83" t="s">
        <v>47</v>
      </c>
      <c r="C53" s="83"/>
      <c r="D53" s="89" t="s">
        <v>104</v>
      </c>
      <c r="E53" s="90" t="s">
        <v>104</v>
      </c>
      <c r="F53" s="92" t="s">
        <v>105</v>
      </c>
      <c r="G53" s="90" t="s">
        <v>104</v>
      </c>
      <c r="H53" s="92" t="s">
        <v>105</v>
      </c>
    </row>
    <row r="54" spans="1:8" x14ac:dyDescent="0.3">
      <c r="A54" s="79" t="s">
        <v>41</v>
      </c>
      <c r="B54" s="80" t="s">
        <v>49</v>
      </c>
      <c r="C54" s="80"/>
      <c r="D54" s="89" t="s">
        <v>104</v>
      </c>
      <c r="E54" s="90" t="s">
        <v>104</v>
      </c>
      <c r="F54" s="92" t="s">
        <v>105</v>
      </c>
      <c r="G54" s="90" t="s">
        <v>104</v>
      </c>
      <c r="H54" s="92" t="s">
        <v>105</v>
      </c>
    </row>
    <row r="55" spans="1:8" x14ac:dyDescent="0.3">
      <c r="A55" s="79" t="s">
        <v>41</v>
      </c>
      <c r="B55" s="83" t="s">
        <v>80</v>
      </c>
      <c r="C55" s="83"/>
      <c r="D55" s="89" t="s">
        <v>104</v>
      </c>
      <c r="E55" s="90" t="s">
        <v>104</v>
      </c>
      <c r="F55" s="92" t="s">
        <v>105</v>
      </c>
      <c r="G55" s="90" t="s">
        <v>104</v>
      </c>
      <c r="H55" s="92" t="s">
        <v>105</v>
      </c>
    </row>
  </sheetData>
  <autoFilter ref="A1:H5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 Aclaratorias</vt:lpstr>
      <vt:lpstr>FICHA DE CARACTERIZACION A 3.1</vt:lpstr>
      <vt:lpstr>FICHA GN A3.2</vt:lpstr>
      <vt:lpstr>TABLA RECOPILATORIA A3.3</vt:lpstr>
      <vt:lpstr>LISTA DE RESIDUOS</vt:lpstr>
      <vt:lpstr>SOLICITADOS_FRACCION</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X080988</dc:creator>
  <cp:lastModifiedBy>d039819</cp:lastModifiedBy>
  <dcterms:created xsi:type="dcterms:W3CDTF">2022-09-26T06:54:57Z</dcterms:created>
  <dcterms:modified xsi:type="dcterms:W3CDTF">2023-05-31T12:35:52Z</dcterms:modified>
</cp:coreProperties>
</file>